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1540" yWindow="0" windowWidth="26080" windowHeight="15660"/>
  </bookViews>
  <sheets>
    <sheet name="2017 Ranked by GDP" sheetId="1" r:id="rId1"/>
    <sheet name="2017 Ranked by CW PC" sheetId="5" r:id="rId2"/>
    <sheet name="2000 Ranked by GDP" sheetId="3" r:id="rId3"/>
    <sheet name="2000 Ranked by CW PC" sheetId="6" r:id="rId4"/>
    <sheet name="2000-17 Change" sheetId="7" r:id="rId5"/>
    <sheet name="LINKS (2017)" sheetId="2" r:id="rId6"/>
    <sheet name="LINKS (2000)" sheetId="4" r:id="rId7"/>
  </sheets>
  <definedNames>
    <definedName name="_xlnm.Print_Area" localSheetId="3">'2000 Ranked by CW PC'!$A$1:$Q$98</definedName>
    <definedName name="_xlnm.Print_Area" localSheetId="2">'2000 Ranked by GDP'!$A$1:$Q$98</definedName>
    <definedName name="_xlnm.Print_Titles" localSheetId="3">'2000 Ranked by CW PC'!$27:$27</definedName>
    <definedName name="_xlnm.Print_Titles" localSheetId="2">'2000 Ranked by GDP'!$27:$27</definedName>
    <definedName name="_xlnm.Print_Titles" localSheetId="4">'2000-17 Change'!$18:$18</definedName>
    <definedName name="_xlnm.Print_Titles" localSheetId="1">'2017 Ranked by CW PC'!$27:$27</definedName>
    <definedName name="_xlnm.Print_Titles" localSheetId="0">'2017 Ranked by GDP'!$27:$27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 i="7" l="1"/>
  <c r="Q1" i="6"/>
  <c r="N1" i="5"/>
  <c r="E87" i="1"/>
  <c r="E87" i="3"/>
  <c r="D78" i="7"/>
  <c r="D77" i="7"/>
  <c r="D76"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74" i="7"/>
  <c r="H20" i="7"/>
  <c r="F29" i="1"/>
  <c r="J29" i="1"/>
  <c r="M29" i="3"/>
  <c r="I20" i="7"/>
  <c r="E29" i="1"/>
  <c r="G29" i="1"/>
  <c r="K29" i="1"/>
  <c r="J29" i="3"/>
  <c r="N29" i="3"/>
  <c r="J20" i="7"/>
  <c r="H29" i="1"/>
  <c r="L29" i="1"/>
  <c r="K29" i="3"/>
  <c r="O29" i="3"/>
  <c r="K20" i="7"/>
  <c r="M29" i="1"/>
  <c r="P29" i="3"/>
  <c r="L20" i="7"/>
  <c r="N29" i="1"/>
  <c r="Q29" i="3"/>
  <c r="M20" i="7"/>
  <c r="H21" i="7"/>
  <c r="F30" i="1"/>
  <c r="J30" i="1"/>
  <c r="M30" i="3"/>
  <c r="I21" i="7"/>
  <c r="E30" i="1"/>
  <c r="G30" i="1"/>
  <c r="K30" i="1"/>
  <c r="J30" i="3"/>
  <c r="N30" i="3"/>
  <c r="J21" i="7"/>
  <c r="H30" i="1"/>
  <c r="L30" i="1"/>
  <c r="K30" i="3"/>
  <c r="O30" i="3"/>
  <c r="K21" i="7"/>
  <c r="M30" i="1"/>
  <c r="P30" i="3"/>
  <c r="L21" i="7"/>
  <c r="N30" i="1"/>
  <c r="Q30" i="3"/>
  <c r="M21" i="7"/>
  <c r="H22" i="7"/>
  <c r="F31" i="1"/>
  <c r="J31" i="1"/>
  <c r="M31" i="3"/>
  <c r="I22" i="7"/>
  <c r="E31" i="1"/>
  <c r="G31" i="1"/>
  <c r="K31" i="1"/>
  <c r="J31" i="3"/>
  <c r="N31" i="3"/>
  <c r="J22" i="7"/>
  <c r="H31" i="1"/>
  <c r="L31" i="1"/>
  <c r="K31" i="3"/>
  <c r="O31" i="3"/>
  <c r="K22" i="7"/>
  <c r="M31" i="1"/>
  <c r="P31" i="3"/>
  <c r="L22" i="7"/>
  <c r="N31" i="1"/>
  <c r="Q31" i="3"/>
  <c r="M22" i="7"/>
  <c r="H23" i="7"/>
  <c r="F32" i="1"/>
  <c r="J32" i="1"/>
  <c r="M32" i="3"/>
  <c r="I23" i="7"/>
  <c r="E32" i="1"/>
  <c r="G32" i="1"/>
  <c r="K32" i="1"/>
  <c r="J32" i="3"/>
  <c r="N32" i="3"/>
  <c r="J23" i="7"/>
  <c r="H32" i="1"/>
  <c r="L32" i="1"/>
  <c r="K32" i="3"/>
  <c r="O32" i="3"/>
  <c r="K23" i="7"/>
  <c r="M32" i="1"/>
  <c r="P32" i="3"/>
  <c r="L23" i="7"/>
  <c r="N32" i="1"/>
  <c r="Q32" i="3"/>
  <c r="M23" i="7"/>
  <c r="H24" i="7"/>
  <c r="F33" i="1"/>
  <c r="J33" i="1"/>
  <c r="M33" i="3"/>
  <c r="I24" i="7"/>
  <c r="E33" i="1"/>
  <c r="G33" i="1"/>
  <c r="K33" i="1"/>
  <c r="J33" i="3"/>
  <c r="N33" i="3"/>
  <c r="J24" i="7"/>
  <c r="H33" i="1"/>
  <c r="L33" i="1"/>
  <c r="K33" i="3"/>
  <c r="O33" i="3"/>
  <c r="K24" i="7"/>
  <c r="M33" i="1"/>
  <c r="P33" i="3"/>
  <c r="L24" i="7"/>
  <c r="N33" i="1"/>
  <c r="Q33" i="3"/>
  <c r="M24" i="7"/>
  <c r="H25" i="7"/>
  <c r="J34" i="1"/>
  <c r="M34" i="3"/>
  <c r="I25" i="7"/>
  <c r="G34" i="1"/>
  <c r="K34" i="1"/>
  <c r="J34" i="3"/>
  <c r="N34" i="3"/>
  <c r="J25" i="7"/>
  <c r="H34" i="1"/>
  <c r="L34" i="1"/>
  <c r="K34" i="3"/>
  <c r="O34" i="3"/>
  <c r="K25" i="7"/>
  <c r="M34" i="1"/>
  <c r="P34" i="3"/>
  <c r="L25" i="7"/>
  <c r="N34" i="1"/>
  <c r="Q34" i="3"/>
  <c r="M25" i="7"/>
  <c r="H26" i="7"/>
  <c r="J35" i="1"/>
  <c r="M35" i="3"/>
  <c r="I26" i="7"/>
  <c r="G35" i="1"/>
  <c r="K35" i="1"/>
  <c r="J35" i="3"/>
  <c r="N35" i="3"/>
  <c r="J26" i="7"/>
  <c r="H35" i="1"/>
  <c r="L35" i="1"/>
  <c r="K35" i="3"/>
  <c r="O35" i="3"/>
  <c r="K26" i="7"/>
  <c r="M35" i="1"/>
  <c r="P35" i="3"/>
  <c r="L26" i="7"/>
  <c r="N35" i="1"/>
  <c r="Q35" i="3"/>
  <c r="M26" i="7"/>
  <c r="H27" i="7"/>
  <c r="F36" i="1"/>
  <c r="J36" i="1"/>
  <c r="M36" i="3"/>
  <c r="I27" i="7"/>
  <c r="E36" i="1"/>
  <c r="G36" i="1"/>
  <c r="K36" i="1"/>
  <c r="J36" i="3"/>
  <c r="N36" i="3"/>
  <c r="J27" i="7"/>
  <c r="H36" i="1"/>
  <c r="L36" i="1"/>
  <c r="K36" i="3"/>
  <c r="O36" i="3"/>
  <c r="K27" i="7"/>
  <c r="M36" i="1"/>
  <c r="P36" i="3"/>
  <c r="L27" i="7"/>
  <c r="N36" i="1"/>
  <c r="Q36" i="3"/>
  <c r="M27" i="7"/>
  <c r="H28" i="7"/>
  <c r="J37" i="1"/>
  <c r="M37" i="3"/>
  <c r="I28" i="7"/>
  <c r="G37" i="1"/>
  <c r="K37" i="1"/>
  <c r="J37" i="3"/>
  <c r="N37" i="3"/>
  <c r="J28" i="7"/>
  <c r="H37" i="1"/>
  <c r="L37" i="1"/>
  <c r="K37" i="3"/>
  <c r="O37" i="3"/>
  <c r="K28" i="7"/>
  <c r="M37" i="1"/>
  <c r="P37" i="3"/>
  <c r="L28" i="7"/>
  <c r="N37" i="1"/>
  <c r="Q37" i="3"/>
  <c r="M28" i="7"/>
  <c r="H29" i="7"/>
  <c r="F38" i="1"/>
  <c r="J38" i="1"/>
  <c r="M38" i="3"/>
  <c r="I29" i="7"/>
  <c r="E38" i="1"/>
  <c r="G38" i="1"/>
  <c r="K38" i="1"/>
  <c r="J38" i="3"/>
  <c r="N38" i="3"/>
  <c r="J29" i="7"/>
  <c r="H38" i="1"/>
  <c r="L38" i="1"/>
  <c r="K38" i="3"/>
  <c r="O38" i="3"/>
  <c r="K29" i="7"/>
  <c r="M38" i="1"/>
  <c r="P38" i="3"/>
  <c r="L29" i="7"/>
  <c r="N38" i="1"/>
  <c r="Q38" i="3"/>
  <c r="M29" i="7"/>
  <c r="H30" i="7"/>
  <c r="F39" i="1"/>
  <c r="J39" i="1"/>
  <c r="M39" i="3"/>
  <c r="I30" i="7"/>
  <c r="G39" i="1"/>
  <c r="K39" i="1"/>
  <c r="J39" i="3"/>
  <c r="N39" i="3"/>
  <c r="J30" i="7"/>
  <c r="H39" i="1"/>
  <c r="L39" i="1"/>
  <c r="K39" i="3"/>
  <c r="O39" i="3"/>
  <c r="K30" i="7"/>
  <c r="M39" i="1"/>
  <c r="P39" i="3"/>
  <c r="L30" i="7"/>
  <c r="N39" i="1"/>
  <c r="Q39" i="3"/>
  <c r="M30" i="7"/>
  <c r="H31" i="7"/>
  <c r="J40" i="1"/>
  <c r="M40" i="3"/>
  <c r="I31" i="7"/>
  <c r="G40" i="1"/>
  <c r="K40" i="1"/>
  <c r="J40" i="3"/>
  <c r="N40" i="3"/>
  <c r="J31" i="7"/>
  <c r="H40" i="1"/>
  <c r="L40" i="1"/>
  <c r="K40" i="3"/>
  <c r="O40" i="3"/>
  <c r="K31" i="7"/>
  <c r="M40" i="1"/>
  <c r="P40" i="3"/>
  <c r="L31" i="7"/>
  <c r="N40" i="1"/>
  <c r="Q40" i="3"/>
  <c r="M31" i="7"/>
  <c r="H32" i="7"/>
  <c r="F41" i="1"/>
  <c r="J41" i="1"/>
  <c r="M41" i="3"/>
  <c r="I32" i="7"/>
  <c r="E41" i="1"/>
  <c r="G41" i="1"/>
  <c r="K41" i="1"/>
  <c r="J41" i="3"/>
  <c r="N41" i="3"/>
  <c r="J32" i="7"/>
  <c r="H41" i="1"/>
  <c r="L41" i="1"/>
  <c r="K41" i="3"/>
  <c r="O41" i="3"/>
  <c r="K32" i="7"/>
  <c r="M41" i="1"/>
  <c r="P41" i="3"/>
  <c r="L32" i="7"/>
  <c r="N41" i="1"/>
  <c r="Q41" i="3"/>
  <c r="M32" i="7"/>
  <c r="H33" i="7"/>
  <c r="F42" i="1"/>
  <c r="J42" i="1"/>
  <c r="M42" i="3"/>
  <c r="I33" i="7"/>
  <c r="E42" i="1"/>
  <c r="G42" i="1"/>
  <c r="K42" i="1"/>
  <c r="J42" i="3"/>
  <c r="N42" i="3"/>
  <c r="J33" i="7"/>
  <c r="H42" i="1"/>
  <c r="L42" i="1"/>
  <c r="K42" i="3"/>
  <c r="O42" i="3"/>
  <c r="K33" i="7"/>
  <c r="M42" i="1"/>
  <c r="P42" i="3"/>
  <c r="L33" i="7"/>
  <c r="N42" i="1"/>
  <c r="Q42" i="3"/>
  <c r="M33" i="7"/>
  <c r="H34" i="7"/>
  <c r="F43" i="1"/>
  <c r="J43" i="1"/>
  <c r="M43" i="3"/>
  <c r="I34" i="7"/>
  <c r="E43" i="1"/>
  <c r="G43" i="1"/>
  <c r="K43" i="1"/>
  <c r="J43" i="3"/>
  <c r="N43" i="3"/>
  <c r="J34" i="7"/>
  <c r="H43" i="1"/>
  <c r="L43" i="1"/>
  <c r="K43" i="3"/>
  <c r="O43" i="3"/>
  <c r="K34" i="7"/>
  <c r="M43" i="1"/>
  <c r="P43" i="3"/>
  <c r="L34" i="7"/>
  <c r="N43" i="1"/>
  <c r="Q43" i="3"/>
  <c r="M34" i="7"/>
  <c r="H35" i="7"/>
  <c r="F44" i="1"/>
  <c r="J44" i="1"/>
  <c r="M44" i="3"/>
  <c r="I35" i="7"/>
  <c r="E44" i="1"/>
  <c r="G44" i="1"/>
  <c r="K44" i="1"/>
  <c r="J44" i="3"/>
  <c r="N44" i="3"/>
  <c r="J35" i="7"/>
  <c r="H44" i="1"/>
  <c r="L44" i="1"/>
  <c r="K44" i="3"/>
  <c r="O44" i="3"/>
  <c r="K35" i="7"/>
  <c r="M44" i="1"/>
  <c r="P44" i="3"/>
  <c r="L35" i="7"/>
  <c r="N44" i="1"/>
  <c r="Q44" i="3"/>
  <c r="M35" i="7"/>
  <c r="H36" i="7"/>
  <c r="F45" i="1"/>
  <c r="J45" i="1"/>
  <c r="M45" i="3"/>
  <c r="I36" i="7"/>
  <c r="E45" i="1"/>
  <c r="G45" i="1"/>
  <c r="K45" i="1"/>
  <c r="J45" i="3"/>
  <c r="N45" i="3"/>
  <c r="J36" i="7"/>
  <c r="H45" i="1"/>
  <c r="L45" i="1"/>
  <c r="K45" i="3"/>
  <c r="O45" i="3"/>
  <c r="K36" i="7"/>
  <c r="M45" i="1"/>
  <c r="P45" i="3"/>
  <c r="L36" i="7"/>
  <c r="N45" i="1"/>
  <c r="Q45" i="3"/>
  <c r="M36" i="7"/>
  <c r="H37" i="7"/>
  <c r="F46" i="1"/>
  <c r="J46" i="1"/>
  <c r="M46" i="3"/>
  <c r="I37" i="7"/>
  <c r="E46" i="1"/>
  <c r="G46" i="1"/>
  <c r="K46" i="1"/>
  <c r="J46" i="3"/>
  <c r="N46" i="3"/>
  <c r="J37" i="7"/>
  <c r="H46" i="1"/>
  <c r="L46" i="1"/>
  <c r="K46" i="3"/>
  <c r="O46" i="3"/>
  <c r="K37" i="7"/>
  <c r="M46" i="1"/>
  <c r="P46" i="3"/>
  <c r="L37" i="7"/>
  <c r="N46" i="1"/>
  <c r="Q46" i="3"/>
  <c r="M37" i="7"/>
  <c r="H38" i="7"/>
  <c r="F47" i="1"/>
  <c r="J47" i="1"/>
  <c r="M47" i="3"/>
  <c r="I38" i="7"/>
  <c r="E47" i="1"/>
  <c r="G47" i="1"/>
  <c r="K47" i="1"/>
  <c r="J47" i="3"/>
  <c r="N47" i="3"/>
  <c r="J38" i="7"/>
  <c r="H47" i="1"/>
  <c r="L47" i="1"/>
  <c r="K47" i="3"/>
  <c r="O47" i="3"/>
  <c r="K38" i="7"/>
  <c r="M47" i="1"/>
  <c r="P47" i="3"/>
  <c r="L38" i="7"/>
  <c r="N47" i="1"/>
  <c r="Q47" i="3"/>
  <c r="M38" i="7"/>
  <c r="H39" i="7"/>
  <c r="F48" i="1"/>
  <c r="J48" i="1"/>
  <c r="M48" i="3"/>
  <c r="I39" i="7"/>
  <c r="E48" i="1"/>
  <c r="G48" i="1"/>
  <c r="K48" i="1"/>
  <c r="J48" i="3"/>
  <c r="N48" i="3"/>
  <c r="J39" i="7"/>
  <c r="H48" i="1"/>
  <c r="L48" i="1"/>
  <c r="K48" i="3"/>
  <c r="O48" i="3"/>
  <c r="K39" i="7"/>
  <c r="M48" i="1"/>
  <c r="P48" i="3"/>
  <c r="L39" i="7"/>
  <c r="N48" i="1"/>
  <c r="Q48" i="3"/>
  <c r="M39" i="7"/>
  <c r="H40" i="7"/>
  <c r="F49" i="1"/>
  <c r="J49" i="1"/>
  <c r="M49" i="3"/>
  <c r="I40" i="7"/>
  <c r="E49" i="1"/>
  <c r="G49" i="1"/>
  <c r="K49" i="1"/>
  <c r="J49" i="3"/>
  <c r="N49" i="3"/>
  <c r="J40" i="7"/>
  <c r="H49" i="1"/>
  <c r="L49" i="1"/>
  <c r="K49" i="3"/>
  <c r="O49" i="3"/>
  <c r="K40" i="7"/>
  <c r="M49" i="1"/>
  <c r="P49" i="3"/>
  <c r="L40" i="7"/>
  <c r="N49" i="1"/>
  <c r="Q49" i="3"/>
  <c r="M40" i="7"/>
  <c r="H41" i="7"/>
  <c r="F50" i="1"/>
  <c r="J50" i="1"/>
  <c r="M50" i="3"/>
  <c r="I41" i="7"/>
  <c r="E50" i="1"/>
  <c r="G50" i="1"/>
  <c r="K50" i="1"/>
  <c r="J50" i="3"/>
  <c r="N50" i="3"/>
  <c r="J41" i="7"/>
  <c r="H50" i="1"/>
  <c r="L50" i="1"/>
  <c r="K50" i="3"/>
  <c r="O50" i="3"/>
  <c r="K41" i="7"/>
  <c r="M50" i="1"/>
  <c r="P50" i="3"/>
  <c r="L41" i="7"/>
  <c r="N50" i="1"/>
  <c r="Q50" i="3"/>
  <c r="M41" i="7"/>
  <c r="H42" i="7"/>
  <c r="F51" i="1"/>
  <c r="J51" i="1"/>
  <c r="M51" i="3"/>
  <c r="I42" i="7"/>
  <c r="E51" i="1"/>
  <c r="G51" i="1"/>
  <c r="K51" i="1"/>
  <c r="J51" i="3"/>
  <c r="N51" i="3"/>
  <c r="J42" i="7"/>
  <c r="H51" i="1"/>
  <c r="L51" i="1"/>
  <c r="K51" i="3"/>
  <c r="O51" i="3"/>
  <c r="K42" i="7"/>
  <c r="M51" i="1"/>
  <c r="P51" i="3"/>
  <c r="L42" i="7"/>
  <c r="N51" i="1"/>
  <c r="Q51" i="3"/>
  <c r="M42" i="7"/>
  <c r="H43" i="7"/>
  <c r="F52" i="1"/>
  <c r="J52" i="1"/>
  <c r="M52" i="3"/>
  <c r="I43" i="7"/>
  <c r="E52" i="1"/>
  <c r="G52" i="1"/>
  <c r="K52" i="1"/>
  <c r="J52" i="3"/>
  <c r="N52" i="3"/>
  <c r="J43" i="7"/>
  <c r="H52" i="1"/>
  <c r="L52" i="1"/>
  <c r="K52" i="3"/>
  <c r="O52" i="3"/>
  <c r="K43" i="7"/>
  <c r="M52" i="1"/>
  <c r="P52" i="3"/>
  <c r="L43" i="7"/>
  <c r="N52" i="1"/>
  <c r="Q52" i="3"/>
  <c r="M43" i="7"/>
  <c r="H44" i="7"/>
  <c r="F53" i="1"/>
  <c r="J53" i="1"/>
  <c r="M53" i="3"/>
  <c r="I44" i="7"/>
  <c r="E53" i="1"/>
  <c r="G53" i="1"/>
  <c r="K53" i="1"/>
  <c r="J53" i="3"/>
  <c r="N53" i="3"/>
  <c r="J44" i="7"/>
  <c r="H53" i="1"/>
  <c r="L53" i="1"/>
  <c r="K53" i="3"/>
  <c r="O53" i="3"/>
  <c r="K44" i="7"/>
  <c r="M53" i="1"/>
  <c r="P53" i="3"/>
  <c r="L44" i="7"/>
  <c r="N53" i="1"/>
  <c r="Q53" i="3"/>
  <c r="M44" i="7"/>
  <c r="H45" i="7"/>
  <c r="F54" i="1"/>
  <c r="J54" i="1"/>
  <c r="M54" i="3"/>
  <c r="I45" i="7"/>
  <c r="E54" i="1"/>
  <c r="G54" i="1"/>
  <c r="K54" i="1"/>
  <c r="J54" i="3"/>
  <c r="N54" i="3"/>
  <c r="J45" i="7"/>
  <c r="H54" i="1"/>
  <c r="L54" i="1"/>
  <c r="K54" i="3"/>
  <c r="O54" i="3"/>
  <c r="K45" i="7"/>
  <c r="M54" i="1"/>
  <c r="P54" i="3"/>
  <c r="L45" i="7"/>
  <c r="N54" i="1"/>
  <c r="Q54" i="3"/>
  <c r="M45" i="7"/>
  <c r="H46" i="7"/>
  <c r="F55" i="1"/>
  <c r="J55" i="1"/>
  <c r="M55" i="3"/>
  <c r="I46" i="7"/>
  <c r="E55" i="1"/>
  <c r="G55" i="1"/>
  <c r="K55" i="1"/>
  <c r="J55" i="3"/>
  <c r="N55" i="3"/>
  <c r="J46" i="7"/>
  <c r="H55" i="1"/>
  <c r="L55" i="1"/>
  <c r="K55" i="3"/>
  <c r="O55" i="3"/>
  <c r="K46" i="7"/>
  <c r="M55" i="1"/>
  <c r="P55" i="3"/>
  <c r="L46" i="7"/>
  <c r="N55" i="1"/>
  <c r="Q55" i="3"/>
  <c r="M46" i="7"/>
  <c r="H47" i="7"/>
  <c r="F56" i="1"/>
  <c r="J56" i="1"/>
  <c r="M56" i="3"/>
  <c r="I47" i="7"/>
  <c r="E56" i="1"/>
  <c r="G56" i="1"/>
  <c r="K56" i="1"/>
  <c r="J56" i="3"/>
  <c r="N56" i="3"/>
  <c r="J47" i="7"/>
  <c r="H56" i="1"/>
  <c r="L56" i="1"/>
  <c r="K56" i="3"/>
  <c r="O56" i="3"/>
  <c r="K47" i="7"/>
  <c r="M56" i="1"/>
  <c r="P56" i="3"/>
  <c r="L47" i="7"/>
  <c r="N56" i="1"/>
  <c r="Q56" i="3"/>
  <c r="M47" i="7"/>
  <c r="H48" i="7"/>
  <c r="F57" i="1"/>
  <c r="J57" i="1"/>
  <c r="M57" i="3"/>
  <c r="I48" i="7"/>
  <c r="E57" i="1"/>
  <c r="G57" i="1"/>
  <c r="K57" i="1"/>
  <c r="J57" i="3"/>
  <c r="N57" i="3"/>
  <c r="J48" i="7"/>
  <c r="H57" i="1"/>
  <c r="L57" i="1"/>
  <c r="K57" i="3"/>
  <c r="O57" i="3"/>
  <c r="K48" i="7"/>
  <c r="M57" i="1"/>
  <c r="P57" i="3"/>
  <c r="L48" i="7"/>
  <c r="N57" i="1"/>
  <c r="Q57" i="3"/>
  <c r="M48" i="7"/>
  <c r="H49" i="7"/>
  <c r="F58" i="1"/>
  <c r="J58" i="1"/>
  <c r="M58" i="3"/>
  <c r="I49" i="7"/>
  <c r="E58" i="1"/>
  <c r="G58" i="1"/>
  <c r="K58" i="1"/>
  <c r="J58" i="3"/>
  <c r="N58" i="3"/>
  <c r="J49" i="7"/>
  <c r="H58" i="1"/>
  <c r="L58" i="1"/>
  <c r="K58" i="3"/>
  <c r="O58" i="3"/>
  <c r="K49" i="7"/>
  <c r="M58" i="1"/>
  <c r="P58" i="3"/>
  <c r="L49" i="7"/>
  <c r="N58" i="1"/>
  <c r="Q58" i="3"/>
  <c r="M49" i="7"/>
  <c r="H50" i="7"/>
  <c r="F59" i="1"/>
  <c r="J59" i="1"/>
  <c r="M59" i="3"/>
  <c r="I50" i="7"/>
  <c r="E59" i="1"/>
  <c r="G59" i="1"/>
  <c r="K59" i="1"/>
  <c r="J59" i="3"/>
  <c r="N59" i="3"/>
  <c r="J50" i="7"/>
  <c r="H59" i="1"/>
  <c r="L59" i="1"/>
  <c r="K59" i="3"/>
  <c r="O59" i="3"/>
  <c r="K50" i="7"/>
  <c r="M59" i="1"/>
  <c r="P59" i="3"/>
  <c r="L50" i="7"/>
  <c r="N59" i="1"/>
  <c r="Q59" i="3"/>
  <c r="M50" i="7"/>
  <c r="H51" i="7"/>
  <c r="F60" i="1"/>
  <c r="J60" i="1"/>
  <c r="M60" i="3"/>
  <c r="I51" i="7"/>
  <c r="E60" i="1"/>
  <c r="G60" i="1"/>
  <c r="K60" i="1"/>
  <c r="J60" i="3"/>
  <c r="N60" i="3"/>
  <c r="J51" i="7"/>
  <c r="H60" i="1"/>
  <c r="L60" i="1"/>
  <c r="K60" i="3"/>
  <c r="O60" i="3"/>
  <c r="K51" i="7"/>
  <c r="M60" i="1"/>
  <c r="P60" i="3"/>
  <c r="L51" i="7"/>
  <c r="N60" i="1"/>
  <c r="Q60" i="3"/>
  <c r="M51" i="7"/>
  <c r="H52" i="7"/>
  <c r="F61" i="1"/>
  <c r="J61" i="1"/>
  <c r="M61" i="3"/>
  <c r="I52" i="7"/>
  <c r="E61" i="1"/>
  <c r="G61" i="1"/>
  <c r="K61" i="1"/>
  <c r="J61" i="3"/>
  <c r="N61" i="3"/>
  <c r="J52" i="7"/>
  <c r="H61" i="1"/>
  <c r="L61" i="1"/>
  <c r="K61" i="3"/>
  <c r="O61" i="3"/>
  <c r="K52" i="7"/>
  <c r="M61" i="1"/>
  <c r="P61" i="3"/>
  <c r="L52" i="7"/>
  <c r="N61" i="1"/>
  <c r="Q61" i="3"/>
  <c r="M52" i="7"/>
  <c r="H53" i="7"/>
  <c r="F62" i="1"/>
  <c r="J62" i="1"/>
  <c r="M62" i="3"/>
  <c r="I53" i="7"/>
  <c r="E62" i="1"/>
  <c r="G62" i="1"/>
  <c r="K62" i="1"/>
  <c r="J62" i="3"/>
  <c r="N62" i="3"/>
  <c r="J53" i="7"/>
  <c r="H62" i="1"/>
  <c r="L62" i="1"/>
  <c r="K62" i="3"/>
  <c r="O62" i="3"/>
  <c r="K53" i="7"/>
  <c r="M62" i="1"/>
  <c r="P62" i="3"/>
  <c r="L53" i="7"/>
  <c r="N62" i="1"/>
  <c r="Q62" i="3"/>
  <c r="M53" i="7"/>
  <c r="H54" i="7"/>
  <c r="F63" i="1"/>
  <c r="J63" i="1"/>
  <c r="M63" i="3"/>
  <c r="I54" i="7"/>
  <c r="E63" i="1"/>
  <c r="G63" i="1"/>
  <c r="K63" i="1"/>
  <c r="J63" i="3"/>
  <c r="N63" i="3"/>
  <c r="J54" i="7"/>
  <c r="H63" i="1"/>
  <c r="L63" i="1"/>
  <c r="K63" i="3"/>
  <c r="O63" i="3"/>
  <c r="K54" i="7"/>
  <c r="M63" i="1"/>
  <c r="P63" i="3"/>
  <c r="L54" i="7"/>
  <c r="N63" i="1"/>
  <c r="Q63" i="3"/>
  <c r="M54" i="7"/>
  <c r="H55" i="7"/>
  <c r="F64" i="1"/>
  <c r="J64" i="1"/>
  <c r="M64" i="3"/>
  <c r="I55" i="7"/>
  <c r="E64" i="1"/>
  <c r="G64" i="1"/>
  <c r="K64" i="1"/>
  <c r="J64" i="3"/>
  <c r="N64" i="3"/>
  <c r="J55" i="7"/>
  <c r="H64" i="1"/>
  <c r="L64" i="1"/>
  <c r="K64" i="3"/>
  <c r="O64" i="3"/>
  <c r="K55" i="7"/>
  <c r="M64" i="1"/>
  <c r="P64" i="3"/>
  <c r="L55" i="7"/>
  <c r="N64" i="1"/>
  <c r="Q64" i="3"/>
  <c r="M55" i="7"/>
  <c r="H56" i="7"/>
  <c r="F65" i="1"/>
  <c r="J65" i="1"/>
  <c r="M65" i="3"/>
  <c r="I56" i="7"/>
  <c r="E65" i="1"/>
  <c r="G65" i="1"/>
  <c r="K65" i="1"/>
  <c r="J65" i="3"/>
  <c r="N65" i="3"/>
  <c r="J56" i="7"/>
  <c r="H65" i="1"/>
  <c r="L65" i="1"/>
  <c r="K65" i="3"/>
  <c r="O65" i="3"/>
  <c r="K56" i="7"/>
  <c r="M65" i="1"/>
  <c r="P65" i="3"/>
  <c r="L56" i="7"/>
  <c r="N65" i="1"/>
  <c r="Q65" i="3"/>
  <c r="M56" i="7"/>
  <c r="H57" i="7"/>
  <c r="F66" i="1"/>
  <c r="J66" i="1"/>
  <c r="M66" i="3"/>
  <c r="I57" i="7"/>
  <c r="E66" i="1"/>
  <c r="G66" i="1"/>
  <c r="K66" i="1"/>
  <c r="J66" i="3"/>
  <c r="N66" i="3"/>
  <c r="J57" i="7"/>
  <c r="H66" i="1"/>
  <c r="L66" i="1"/>
  <c r="K66" i="3"/>
  <c r="O66" i="3"/>
  <c r="K57" i="7"/>
  <c r="M66" i="1"/>
  <c r="P66" i="3"/>
  <c r="L57" i="7"/>
  <c r="N66" i="1"/>
  <c r="Q66" i="3"/>
  <c r="M57" i="7"/>
  <c r="H58" i="7"/>
  <c r="F67" i="1"/>
  <c r="J67" i="1"/>
  <c r="M67" i="3"/>
  <c r="I58" i="7"/>
  <c r="E67" i="1"/>
  <c r="G67" i="1"/>
  <c r="K67" i="1"/>
  <c r="J67" i="3"/>
  <c r="N67" i="3"/>
  <c r="J58" i="7"/>
  <c r="H67" i="1"/>
  <c r="L67" i="1"/>
  <c r="K67" i="3"/>
  <c r="O67" i="3"/>
  <c r="K58" i="7"/>
  <c r="M67" i="1"/>
  <c r="P67" i="3"/>
  <c r="L58" i="7"/>
  <c r="N67" i="1"/>
  <c r="Q67" i="3"/>
  <c r="M58" i="7"/>
  <c r="H59" i="7"/>
  <c r="F68" i="1"/>
  <c r="J68" i="1"/>
  <c r="M68" i="3"/>
  <c r="I59" i="7"/>
  <c r="E68" i="1"/>
  <c r="G68" i="1"/>
  <c r="K68" i="1"/>
  <c r="J68" i="3"/>
  <c r="N68" i="3"/>
  <c r="J59" i="7"/>
  <c r="H68" i="1"/>
  <c r="L68" i="1"/>
  <c r="K68" i="3"/>
  <c r="O68" i="3"/>
  <c r="K59" i="7"/>
  <c r="M68" i="1"/>
  <c r="P68" i="3"/>
  <c r="L59" i="7"/>
  <c r="N68" i="1"/>
  <c r="Q68" i="3"/>
  <c r="M59" i="7"/>
  <c r="H60" i="7"/>
  <c r="F69" i="1"/>
  <c r="J69" i="1"/>
  <c r="M69" i="3"/>
  <c r="I60" i="7"/>
  <c r="E69" i="1"/>
  <c r="G69" i="1"/>
  <c r="K69" i="1"/>
  <c r="J69" i="3"/>
  <c r="N69" i="3"/>
  <c r="J60" i="7"/>
  <c r="H69" i="1"/>
  <c r="L69" i="1"/>
  <c r="K69" i="3"/>
  <c r="O69" i="3"/>
  <c r="K60" i="7"/>
  <c r="M69" i="1"/>
  <c r="P69" i="3"/>
  <c r="L60" i="7"/>
  <c r="N69" i="1"/>
  <c r="Q69" i="3"/>
  <c r="M60" i="7"/>
  <c r="H61" i="7"/>
  <c r="F70" i="1"/>
  <c r="J70" i="1"/>
  <c r="M70" i="3"/>
  <c r="I61" i="7"/>
  <c r="E70" i="1"/>
  <c r="G70" i="1"/>
  <c r="K70" i="1"/>
  <c r="J70" i="3"/>
  <c r="N70" i="3"/>
  <c r="J61" i="7"/>
  <c r="H70" i="1"/>
  <c r="L70" i="1"/>
  <c r="K70" i="3"/>
  <c r="O70" i="3"/>
  <c r="K61" i="7"/>
  <c r="M70" i="1"/>
  <c r="P70" i="3"/>
  <c r="L61" i="7"/>
  <c r="N70" i="1"/>
  <c r="Q70" i="3"/>
  <c r="M61" i="7"/>
  <c r="H62" i="7"/>
  <c r="F71" i="1"/>
  <c r="J71" i="1"/>
  <c r="M71" i="3"/>
  <c r="I62" i="7"/>
  <c r="E71" i="1"/>
  <c r="G71" i="1"/>
  <c r="K71" i="1"/>
  <c r="J71" i="3"/>
  <c r="N71" i="3"/>
  <c r="J62" i="7"/>
  <c r="H71" i="1"/>
  <c r="L71" i="1"/>
  <c r="K71" i="3"/>
  <c r="O71" i="3"/>
  <c r="K62" i="7"/>
  <c r="M71" i="1"/>
  <c r="P71" i="3"/>
  <c r="L62" i="7"/>
  <c r="N71" i="1"/>
  <c r="Q71" i="3"/>
  <c r="M62" i="7"/>
  <c r="H63" i="7"/>
  <c r="F72" i="1"/>
  <c r="J72" i="1"/>
  <c r="M72" i="3"/>
  <c r="I63" i="7"/>
  <c r="E72" i="1"/>
  <c r="G72" i="1"/>
  <c r="K72" i="1"/>
  <c r="J72" i="3"/>
  <c r="N72" i="3"/>
  <c r="J63" i="7"/>
  <c r="H72" i="1"/>
  <c r="L72" i="1"/>
  <c r="K72" i="3"/>
  <c r="O72" i="3"/>
  <c r="K63" i="7"/>
  <c r="M72" i="1"/>
  <c r="P72" i="3"/>
  <c r="L63" i="7"/>
  <c r="N72" i="1"/>
  <c r="Q72" i="3"/>
  <c r="M63" i="7"/>
  <c r="H64" i="7"/>
  <c r="F73" i="1"/>
  <c r="J73" i="1"/>
  <c r="M73" i="3"/>
  <c r="I64" i="7"/>
  <c r="E73" i="1"/>
  <c r="G73" i="1"/>
  <c r="K73" i="1"/>
  <c r="J73" i="3"/>
  <c r="N73" i="3"/>
  <c r="J64" i="7"/>
  <c r="H73" i="1"/>
  <c r="L73" i="1"/>
  <c r="K73" i="3"/>
  <c r="O73" i="3"/>
  <c r="K64" i="7"/>
  <c r="M73" i="1"/>
  <c r="P73" i="3"/>
  <c r="L64" i="7"/>
  <c r="N73" i="1"/>
  <c r="Q73" i="3"/>
  <c r="M64" i="7"/>
  <c r="H65" i="7"/>
  <c r="F74" i="1"/>
  <c r="J74" i="1"/>
  <c r="M74" i="3"/>
  <c r="I65" i="7"/>
  <c r="E74" i="1"/>
  <c r="G74" i="1"/>
  <c r="K74" i="1"/>
  <c r="J74" i="3"/>
  <c r="N74" i="3"/>
  <c r="J65" i="7"/>
  <c r="H74" i="1"/>
  <c r="L74" i="1"/>
  <c r="K74" i="3"/>
  <c r="O74" i="3"/>
  <c r="K65" i="7"/>
  <c r="M74" i="1"/>
  <c r="P74" i="3"/>
  <c r="L65" i="7"/>
  <c r="N74" i="1"/>
  <c r="Q74" i="3"/>
  <c r="M65" i="7"/>
  <c r="H66" i="7"/>
  <c r="F75" i="1"/>
  <c r="J75" i="1"/>
  <c r="M75" i="3"/>
  <c r="I66" i="7"/>
  <c r="E75" i="1"/>
  <c r="G75" i="1"/>
  <c r="K75" i="1"/>
  <c r="J75" i="3"/>
  <c r="N75" i="3"/>
  <c r="J66" i="7"/>
  <c r="H75" i="1"/>
  <c r="L75" i="1"/>
  <c r="K75" i="3"/>
  <c r="O75" i="3"/>
  <c r="K66" i="7"/>
  <c r="M75" i="1"/>
  <c r="P75" i="3"/>
  <c r="L66" i="7"/>
  <c r="N75" i="1"/>
  <c r="Q75" i="3"/>
  <c r="M66" i="7"/>
  <c r="H67" i="7"/>
  <c r="F76" i="1"/>
  <c r="J76" i="1"/>
  <c r="M76" i="3"/>
  <c r="I67" i="7"/>
  <c r="E76" i="1"/>
  <c r="G76" i="1"/>
  <c r="K76" i="1"/>
  <c r="J76" i="3"/>
  <c r="N76" i="3"/>
  <c r="J67" i="7"/>
  <c r="H76" i="1"/>
  <c r="L76" i="1"/>
  <c r="K76" i="3"/>
  <c r="O76" i="3"/>
  <c r="K67" i="7"/>
  <c r="M76" i="1"/>
  <c r="P76" i="3"/>
  <c r="L67" i="7"/>
  <c r="N76" i="1"/>
  <c r="Q76" i="3"/>
  <c r="M67" i="7"/>
  <c r="H68" i="7"/>
  <c r="F77" i="1"/>
  <c r="J77" i="1"/>
  <c r="M77" i="3"/>
  <c r="I68" i="7"/>
  <c r="E77" i="1"/>
  <c r="G77" i="1"/>
  <c r="K77" i="1"/>
  <c r="J77" i="3"/>
  <c r="N77" i="3"/>
  <c r="J68" i="7"/>
  <c r="H77" i="1"/>
  <c r="L77" i="1"/>
  <c r="K77" i="3"/>
  <c r="O77" i="3"/>
  <c r="K68" i="7"/>
  <c r="M77" i="1"/>
  <c r="P77" i="3"/>
  <c r="L68" i="7"/>
  <c r="N77" i="1"/>
  <c r="Q77" i="3"/>
  <c r="M68" i="7"/>
  <c r="I78" i="1"/>
  <c r="L78" i="3"/>
  <c r="H69" i="7"/>
  <c r="F78" i="1"/>
  <c r="J78" i="1"/>
  <c r="I78" i="3"/>
  <c r="M78" i="3"/>
  <c r="I69" i="7"/>
  <c r="G28" i="1"/>
  <c r="G78" i="1"/>
  <c r="K78" i="1"/>
  <c r="J28" i="3"/>
  <c r="J78" i="3"/>
  <c r="N78" i="3"/>
  <c r="J69" i="7"/>
  <c r="H28" i="1"/>
  <c r="H78" i="1"/>
  <c r="L78" i="1"/>
  <c r="K28" i="3"/>
  <c r="K78" i="3"/>
  <c r="O78" i="3"/>
  <c r="K69" i="7"/>
  <c r="M78" i="1"/>
  <c r="P78" i="3"/>
  <c r="L69" i="7"/>
  <c r="N78" i="1"/>
  <c r="Q78" i="3"/>
  <c r="M69" i="7"/>
  <c r="I79" i="1"/>
  <c r="L79" i="3"/>
  <c r="H70" i="7"/>
  <c r="F79" i="1"/>
  <c r="J79" i="1"/>
  <c r="I79" i="3"/>
  <c r="M79" i="3"/>
  <c r="I70" i="7"/>
  <c r="G79" i="1"/>
  <c r="K79" i="1"/>
  <c r="J79" i="3"/>
  <c r="N79" i="3"/>
  <c r="J70" i="7"/>
  <c r="H79" i="1"/>
  <c r="L79" i="1"/>
  <c r="K79" i="3"/>
  <c r="O79" i="3"/>
  <c r="K70" i="7"/>
  <c r="M79" i="1"/>
  <c r="P79" i="3"/>
  <c r="L70" i="7"/>
  <c r="N79" i="1"/>
  <c r="Q79" i="3"/>
  <c r="M70" i="7"/>
  <c r="I80" i="1"/>
  <c r="L80" i="3"/>
  <c r="H71" i="7"/>
  <c r="F80" i="1"/>
  <c r="J80" i="1"/>
  <c r="I80" i="3"/>
  <c r="M80" i="3"/>
  <c r="I71" i="7"/>
  <c r="G80" i="1"/>
  <c r="K80" i="1"/>
  <c r="J80" i="3"/>
  <c r="N80" i="3"/>
  <c r="J71" i="7"/>
  <c r="H80" i="1"/>
  <c r="L80" i="1"/>
  <c r="K80" i="3"/>
  <c r="O80" i="3"/>
  <c r="K71" i="7"/>
  <c r="M80" i="1"/>
  <c r="P80" i="3"/>
  <c r="L71" i="7"/>
  <c r="N80" i="1"/>
  <c r="Q80" i="3"/>
  <c r="M71" i="7"/>
  <c r="I81" i="1"/>
  <c r="L81" i="3"/>
  <c r="H72" i="7"/>
  <c r="F81" i="1"/>
  <c r="J81" i="1"/>
  <c r="I81" i="3"/>
  <c r="M81" i="3"/>
  <c r="I72" i="7"/>
  <c r="G81" i="1"/>
  <c r="K81" i="1"/>
  <c r="J81" i="3"/>
  <c r="N81" i="3"/>
  <c r="J72" i="7"/>
  <c r="H81" i="1"/>
  <c r="L81" i="1"/>
  <c r="K81" i="3"/>
  <c r="O81" i="3"/>
  <c r="K72" i="7"/>
  <c r="M81" i="1"/>
  <c r="P81" i="3"/>
  <c r="L72" i="7"/>
  <c r="N81" i="1"/>
  <c r="Q81" i="3"/>
  <c r="M72" i="7"/>
  <c r="I82" i="1"/>
  <c r="L82" i="3"/>
  <c r="H73" i="7"/>
  <c r="F82" i="1"/>
  <c r="J82" i="1"/>
  <c r="I82" i="3"/>
  <c r="M82" i="3"/>
  <c r="I73" i="7"/>
  <c r="G82" i="1"/>
  <c r="K82" i="1"/>
  <c r="J82" i="3"/>
  <c r="N82" i="3"/>
  <c r="J73" i="7"/>
  <c r="H82" i="1"/>
  <c r="L82" i="1"/>
  <c r="K82" i="3"/>
  <c r="O82" i="3"/>
  <c r="K73" i="7"/>
  <c r="M82" i="1"/>
  <c r="P82" i="3"/>
  <c r="L73" i="7"/>
  <c r="N82" i="1"/>
  <c r="Q82" i="3"/>
  <c r="M73" i="7"/>
  <c r="J28" i="1"/>
  <c r="M28" i="3"/>
  <c r="I19" i="7"/>
  <c r="K28" i="1"/>
  <c r="N28" i="3"/>
  <c r="J19" i="7"/>
  <c r="L28" i="1"/>
  <c r="O28" i="3"/>
  <c r="K19" i="7"/>
  <c r="M28" i="1"/>
  <c r="P28" i="3"/>
  <c r="L19" i="7"/>
  <c r="N28" i="1"/>
  <c r="Q28" i="3"/>
  <c r="M19" i="7"/>
  <c r="G73" i="7"/>
  <c r="G72" i="7"/>
  <c r="G71" i="7"/>
  <c r="G70" i="7"/>
  <c r="G6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19" i="7"/>
  <c r="H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E78" i="1"/>
  <c r="H78" i="3"/>
  <c r="D69" i="7"/>
  <c r="E79" i="1"/>
  <c r="H79" i="3"/>
  <c r="D70" i="7"/>
  <c r="E80" i="1"/>
  <c r="H80" i="3"/>
  <c r="D71" i="7"/>
  <c r="E81" i="1"/>
  <c r="H81" i="3"/>
  <c r="D72" i="7"/>
  <c r="E82" i="1"/>
  <c r="H82" i="3"/>
  <c r="D73" i="7"/>
  <c r="D19" i="7"/>
  <c r="C60" i="7"/>
  <c r="C61" i="7"/>
  <c r="C62" i="7"/>
  <c r="C63" i="7"/>
  <c r="C64" i="7"/>
  <c r="C65" i="7"/>
  <c r="C66" i="7"/>
  <c r="C67" i="7"/>
  <c r="C68" i="7"/>
  <c r="C19" i="7"/>
  <c r="F21" i="1"/>
  <c r="I21" i="3"/>
  <c r="E12" i="7"/>
  <c r="G21" i="1"/>
  <c r="J21" i="3"/>
  <c r="F12" i="7"/>
  <c r="H21" i="1"/>
  <c r="K21" i="3"/>
  <c r="G12" i="7"/>
  <c r="I21" i="1"/>
  <c r="L21" i="3"/>
  <c r="H12" i="7"/>
  <c r="J21" i="1"/>
  <c r="M21" i="3"/>
  <c r="I12" i="7"/>
  <c r="K21" i="1"/>
  <c r="N21" i="3"/>
  <c r="J12" i="7"/>
  <c r="L21" i="1"/>
  <c r="O21" i="3"/>
  <c r="K12" i="7"/>
  <c r="M21" i="1"/>
  <c r="P21" i="3"/>
  <c r="L12" i="7"/>
  <c r="N21" i="1"/>
  <c r="Q21" i="3"/>
  <c r="M12" i="7"/>
  <c r="F22" i="1"/>
  <c r="I22" i="3"/>
  <c r="E13" i="7"/>
  <c r="G22" i="1"/>
  <c r="J22" i="3"/>
  <c r="F13" i="7"/>
  <c r="H22" i="1"/>
  <c r="K22" i="3"/>
  <c r="G13" i="7"/>
  <c r="I22" i="1"/>
  <c r="L22" i="3"/>
  <c r="H13" i="7"/>
  <c r="J22" i="1"/>
  <c r="M22" i="3"/>
  <c r="I13" i="7"/>
  <c r="K22" i="1"/>
  <c r="N22" i="3"/>
  <c r="J13" i="7"/>
  <c r="L22" i="1"/>
  <c r="O22" i="3"/>
  <c r="K13" i="7"/>
  <c r="M22" i="1"/>
  <c r="P22" i="3"/>
  <c r="L13" i="7"/>
  <c r="N22" i="1"/>
  <c r="Q22" i="3"/>
  <c r="M13" i="7"/>
  <c r="F23" i="1"/>
  <c r="I23" i="3"/>
  <c r="E14" i="7"/>
  <c r="G23" i="1"/>
  <c r="J23" i="3"/>
  <c r="F14" i="7"/>
  <c r="H23" i="1"/>
  <c r="K23" i="3"/>
  <c r="G14" i="7"/>
  <c r="I23" i="1"/>
  <c r="L23" i="3"/>
  <c r="H14" i="7"/>
  <c r="J23" i="1"/>
  <c r="M23" i="3"/>
  <c r="I14" i="7"/>
  <c r="K23" i="1"/>
  <c r="N23" i="3"/>
  <c r="J14" i="7"/>
  <c r="L23" i="1"/>
  <c r="O23" i="3"/>
  <c r="K14" i="7"/>
  <c r="M23" i="1"/>
  <c r="P23" i="3"/>
  <c r="L14" i="7"/>
  <c r="N23" i="1"/>
  <c r="Q23" i="3"/>
  <c r="M14" i="7"/>
  <c r="F24" i="1"/>
  <c r="I24" i="3"/>
  <c r="E15" i="7"/>
  <c r="G24" i="1"/>
  <c r="J24" i="3"/>
  <c r="F15" i="7"/>
  <c r="H24" i="1"/>
  <c r="K24" i="3"/>
  <c r="G15" i="7"/>
  <c r="I24" i="1"/>
  <c r="L24" i="3"/>
  <c r="H15" i="7"/>
  <c r="J24" i="1"/>
  <c r="M24" i="3"/>
  <c r="I15" i="7"/>
  <c r="K24" i="1"/>
  <c r="N24" i="3"/>
  <c r="J15" i="7"/>
  <c r="L24" i="1"/>
  <c r="O24" i="3"/>
  <c r="K15" i="7"/>
  <c r="M24" i="1"/>
  <c r="P24" i="3"/>
  <c r="L15" i="7"/>
  <c r="N24" i="1"/>
  <c r="Q24" i="3"/>
  <c r="M15" i="7"/>
  <c r="E22" i="1"/>
  <c r="H22" i="3"/>
  <c r="D13" i="7"/>
  <c r="E23" i="1"/>
  <c r="H23" i="3"/>
  <c r="D14" i="7"/>
  <c r="E24" i="1"/>
  <c r="H24" i="3"/>
  <c r="D15" i="7"/>
  <c r="E21" i="1"/>
  <c r="H21" i="3"/>
  <c r="D12" i="7"/>
  <c r="C80" i="1"/>
  <c r="C22" i="1"/>
  <c r="C80" i="3"/>
  <c r="C22" i="3"/>
  <c r="C13" i="7"/>
  <c r="C81" i="1"/>
  <c r="C23" i="1"/>
  <c r="C81" i="3"/>
  <c r="C23" i="3"/>
  <c r="C14" i="7"/>
  <c r="C82" i="1"/>
  <c r="C24" i="1"/>
  <c r="C82" i="3"/>
  <c r="C24" i="3"/>
  <c r="C15" i="7"/>
  <c r="C79" i="1"/>
  <c r="C21" i="1"/>
  <c r="C79" i="3"/>
  <c r="C21" i="3"/>
  <c r="C12" i="7"/>
  <c r="C78" i="1"/>
  <c r="C16" i="1"/>
  <c r="C18" i="1"/>
  <c r="G16" i="1"/>
  <c r="G18" i="1"/>
  <c r="H18" i="1"/>
  <c r="I16" i="1"/>
  <c r="I18" i="1"/>
  <c r="L18" i="1"/>
  <c r="J16" i="3"/>
  <c r="J17" i="3"/>
  <c r="J18" i="3"/>
  <c r="K18" i="3"/>
  <c r="L16" i="3"/>
  <c r="L18" i="3"/>
  <c r="O18" i="3"/>
  <c r="K9" i="7"/>
  <c r="K18" i="1"/>
  <c r="N18" i="3"/>
  <c r="J9" i="7"/>
  <c r="F16" i="1"/>
  <c r="F18" i="1"/>
  <c r="J18" i="1"/>
  <c r="I16" i="3"/>
  <c r="I18" i="3"/>
  <c r="M18" i="3"/>
  <c r="I9" i="7"/>
  <c r="G9" i="7"/>
  <c r="F9" i="7"/>
  <c r="E9" i="7"/>
  <c r="E16" i="1"/>
  <c r="E18" i="1"/>
  <c r="H16" i="3"/>
  <c r="H18" i="3"/>
  <c r="D9" i="7"/>
  <c r="F19" i="1"/>
  <c r="I19" i="3"/>
  <c r="E10" i="7"/>
  <c r="E19" i="1"/>
  <c r="H19" i="3"/>
  <c r="D10" i="7"/>
  <c r="E8" i="7"/>
  <c r="F8" i="7"/>
  <c r="C17" i="1"/>
  <c r="H17" i="1"/>
  <c r="K17" i="3"/>
  <c r="G8" i="7"/>
  <c r="I17" i="1"/>
  <c r="L17" i="3"/>
  <c r="H8" i="7"/>
  <c r="J17" i="1"/>
  <c r="M17" i="3"/>
  <c r="I8" i="7"/>
  <c r="K17" i="1"/>
  <c r="N17" i="3"/>
  <c r="J8" i="7"/>
  <c r="L17" i="1"/>
  <c r="O17" i="3"/>
  <c r="K8" i="7"/>
  <c r="D8" i="7"/>
  <c r="E7" i="7"/>
  <c r="F7" i="7"/>
  <c r="H16" i="1"/>
  <c r="K16" i="3"/>
  <c r="G7" i="7"/>
  <c r="H7" i="7"/>
  <c r="J16" i="1"/>
  <c r="M16" i="3"/>
  <c r="I7" i="7"/>
  <c r="K16" i="1"/>
  <c r="N16" i="3"/>
  <c r="J7" i="7"/>
  <c r="L16" i="1"/>
  <c r="O16" i="3"/>
  <c r="K7" i="7"/>
  <c r="M16" i="1"/>
  <c r="P16" i="3"/>
  <c r="L7" i="7"/>
  <c r="N16" i="1"/>
  <c r="Q16" i="3"/>
  <c r="M7" i="7"/>
  <c r="D7" i="7"/>
  <c r="C78" i="3"/>
  <c r="C16" i="3"/>
  <c r="C17" i="3"/>
  <c r="C8" i="7"/>
  <c r="C18" i="3"/>
  <c r="C9" i="7"/>
  <c r="C7" i="7"/>
  <c r="C73" i="7"/>
  <c r="C69" i="7"/>
  <c r="C72" i="7"/>
  <c r="C71" i="7"/>
  <c r="C70" i="7"/>
  <c r="H9" i="7"/>
  <c r="D104" i="6"/>
  <c r="G77" i="6"/>
  <c r="G72" i="6"/>
  <c r="G69" i="6"/>
  <c r="G60" i="6"/>
  <c r="G59" i="6"/>
  <c r="G58" i="6"/>
  <c r="G57" i="6"/>
  <c r="G56" i="6"/>
  <c r="G50" i="6"/>
  <c r="G49" i="6"/>
  <c r="G48" i="6"/>
  <c r="G46" i="6"/>
  <c r="G44" i="6"/>
  <c r="G38" i="6"/>
  <c r="G29" i="6"/>
  <c r="E28" i="5"/>
  <c r="F28" i="5"/>
  <c r="G28" i="5"/>
  <c r="E29" i="5"/>
  <c r="F29" i="5"/>
  <c r="G29" i="5"/>
  <c r="E30" i="5"/>
  <c r="F30" i="5"/>
  <c r="G30" i="5"/>
  <c r="E31" i="5"/>
  <c r="F31" i="5"/>
  <c r="G31" i="5"/>
  <c r="E32" i="5"/>
  <c r="F32" i="5"/>
  <c r="G32" i="5"/>
  <c r="F33" i="5"/>
  <c r="G33" i="5"/>
  <c r="G34" i="5"/>
  <c r="G35" i="5"/>
  <c r="E36" i="5"/>
  <c r="F36" i="5"/>
  <c r="G36" i="5"/>
  <c r="E37" i="5"/>
  <c r="F37" i="5"/>
  <c r="G37" i="5"/>
  <c r="E38" i="5"/>
  <c r="F38" i="5"/>
  <c r="G38" i="5"/>
  <c r="E39" i="5"/>
  <c r="F39" i="5"/>
  <c r="G39" i="5"/>
  <c r="E40" i="5"/>
  <c r="F40" i="5"/>
  <c r="G40" i="5"/>
  <c r="E41" i="5"/>
  <c r="F41" i="5"/>
  <c r="G41" i="5"/>
  <c r="E42" i="5"/>
  <c r="F42" i="5"/>
  <c r="G42" i="5"/>
  <c r="G43" i="5"/>
  <c r="E44" i="5"/>
  <c r="F44" i="5"/>
  <c r="G44" i="5"/>
  <c r="E45" i="5"/>
  <c r="F45" i="5"/>
  <c r="G45" i="5"/>
  <c r="E46" i="5"/>
  <c r="F46" i="5"/>
  <c r="G46" i="5"/>
  <c r="E47" i="5"/>
  <c r="F47" i="5"/>
  <c r="G47" i="5"/>
  <c r="E48" i="5"/>
  <c r="F48" i="5"/>
  <c r="G48" i="5"/>
  <c r="E49" i="5"/>
  <c r="F49" i="5"/>
  <c r="G49" i="5"/>
  <c r="E50" i="5"/>
  <c r="F50" i="5"/>
  <c r="G50" i="5"/>
  <c r="E51" i="5"/>
  <c r="F51" i="5"/>
  <c r="G51" i="5"/>
  <c r="E52" i="5"/>
  <c r="F52" i="5"/>
  <c r="G52" i="5"/>
  <c r="G53" i="5"/>
  <c r="E54" i="5"/>
  <c r="F54" i="5"/>
  <c r="G54" i="5"/>
  <c r="E55" i="5"/>
  <c r="F55" i="5"/>
  <c r="G55" i="5"/>
  <c r="E56" i="5"/>
  <c r="F56" i="5"/>
  <c r="G56" i="5"/>
  <c r="E57" i="5"/>
  <c r="F57" i="5"/>
  <c r="G57" i="5"/>
  <c r="E58" i="5"/>
  <c r="F58" i="5"/>
  <c r="G58" i="5"/>
  <c r="E59" i="5"/>
  <c r="F59" i="5"/>
  <c r="G59" i="5"/>
  <c r="E60" i="5"/>
  <c r="F60" i="5"/>
  <c r="G60" i="5"/>
  <c r="E61" i="5"/>
  <c r="F61" i="5"/>
  <c r="G61" i="5"/>
  <c r="E62" i="5"/>
  <c r="F62" i="5"/>
  <c r="G62" i="5"/>
  <c r="E63" i="5"/>
  <c r="F63" i="5"/>
  <c r="G63" i="5"/>
  <c r="E64" i="5"/>
  <c r="F64" i="5"/>
  <c r="G64" i="5"/>
  <c r="E65" i="5"/>
  <c r="F65" i="5"/>
  <c r="G65" i="5"/>
  <c r="G66" i="5"/>
  <c r="E67" i="5"/>
  <c r="F67" i="5"/>
  <c r="G67" i="5"/>
  <c r="G82"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81" i="5"/>
  <c r="I79" i="5"/>
  <c r="D119" i="6"/>
  <c r="D118" i="6"/>
  <c r="D117" i="6"/>
  <c r="D116" i="6"/>
  <c r="D115" i="6"/>
  <c r="D114" i="6"/>
  <c r="D113" i="6"/>
  <c r="D112" i="6"/>
  <c r="D111" i="6"/>
  <c r="D110" i="6"/>
  <c r="D109" i="6"/>
  <c r="D108" i="6"/>
  <c r="D107" i="6"/>
  <c r="D106" i="6"/>
  <c r="D105" i="6"/>
  <c r="D103" i="6"/>
  <c r="D102" i="6"/>
  <c r="E87" i="6"/>
  <c r="J35" i="6"/>
  <c r="J48" i="6"/>
  <c r="J30" i="6"/>
  <c r="J55" i="6"/>
  <c r="J42" i="6"/>
  <c r="J60" i="6"/>
  <c r="J67" i="6"/>
  <c r="J32" i="6"/>
  <c r="J46" i="6"/>
  <c r="J33" i="6"/>
  <c r="J41" i="6"/>
  <c r="J58" i="6"/>
  <c r="J44" i="6"/>
  <c r="J45" i="6"/>
  <c r="J40" i="6"/>
  <c r="J62" i="6"/>
  <c r="J34" i="6"/>
  <c r="J64" i="6"/>
  <c r="J43" i="6"/>
  <c r="J54" i="6"/>
  <c r="J37" i="6"/>
  <c r="J50" i="6"/>
  <c r="J31" i="6"/>
  <c r="J66" i="6"/>
  <c r="J56" i="6"/>
  <c r="J69" i="6"/>
  <c r="J76" i="6"/>
  <c r="J72" i="6"/>
  <c r="J74" i="6"/>
  <c r="J52" i="6"/>
  <c r="J59" i="6"/>
  <c r="J65" i="6"/>
  <c r="J39" i="6"/>
  <c r="J70" i="6"/>
  <c r="J49" i="6"/>
  <c r="J71" i="6"/>
  <c r="J36" i="6"/>
  <c r="J47" i="6"/>
  <c r="J61" i="6"/>
  <c r="J77" i="6"/>
  <c r="J75" i="6"/>
  <c r="J73" i="6"/>
  <c r="J68" i="6"/>
  <c r="J63" i="6"/>
  <c r="J57" i="6"/>
  <c r="J53" i="6"/>
  <c r="J51" i="6"/>
  <c r="J38" i="6"/>
  <c r="J28" i="6"/>
  <c r="J29" i="6"/>
  <c r="J82" i="6"/>
  <c r="L82" i="6"/>
  <c r="N82" i="6"/>
  <c r="Q82" i="6"/>
  <c r="K35" i="6"/>
  <c r="K48" i="6"/>
  <c r="K30" i="6"/>
  <c r="K55" i="6"/>
  <c r="K42" i="6"/>
  <c r="K60" i="6"/>
  <c r="K67" i="6"/>
  <c r="K32" i="6"/>
  <c r="K46" i="6"/>
  <c r="K33" i="6"/>
  <c r="K41" i="6"/>
  <c r="K58" i="6"/>
  <c r="K44" i="6"/>
  <c r="K45" i="6"/>
  <c r="K40" i="6"/>
  <c r="K62" i="6"/>
  <c r="K34" i="6"/>
  <c r="K64" i="6"/>
  <c r="K43" i="6"/>
  <c r="K54" i="6"/>
  <c r="K37" i="6"/>
  <c r="K50" i="6"/>
  <c r="K31" i="6"/>
  <c r="K66" i="6"/>
  <c r="K56" i="6"/>
  <c r="K69" i="6"/>
  <c r="K76" i="6"/>
  <c r="K72" i="6"/>
  <c r="K74" i="6"/>
  <c r="K52" i="6"/>
  <c r="K59" i="6"/>
  <c r="K65" i="6"/>
  <c r="K39" i="6"/>
  <c r="K70" i="6"/>
  <c r="K49" i="6"/>
  <c r="K71" i="6"/>
  <c r="K36" i="6"/>
  <c r="K47" i="6"/>
  <c r="K61" i="6"/>
  <c r="K77" i="6"/>
  <c r="K75" i="6"/>
  <c r="K73" i="6"/>
  <c r="K68" i="6"/>
  <c r="K63" i="6"/>
  <c r="K57" i="6"/>
  <c r="K53" i="6"/>
  <c r="K51" i="6"/>
  <c r="K38" i="6"/>
  <c r="K28" i="6"/>
  <c r="K29" i="6"/>
  <c r="K82" i="6"/>
  <c r="O82" i="6"/>
  <c r="P82" i="6"/>
  <c r="I82" i="6"/>
  <c r="M82" i="6"/>
  <c r="H82" i="6"/>
  <c r="C82" i="6"/>
  <c r="C78" i="6"/>
  <c r="D82" i="6"/>
  <c r="J81" i="6"/>
  <c r="L81" i="6"/>
  <c r="N81" i="6"/>
  <c r="Q81" i="6"/>
  <c r="K81" i="6"/>
  <c r="O81" i="6"/>
  <c r="P81" i="6"/>
  <c r="I81" i="6"/>
  <c r="M81" i="6"/>
  <c r="H81" i="6"/>
  <c r="C81" i="6"/>
  <c r="D81" i="6"/>
  <c r="J80" i="6"/>
  <c r="L80" i="6"/>
  <c r="N80" i="6"/>
  <c r="Q80" i="6"/>
  <c r="K80" i="6"/>
  <c r="O80" i="6"/>
  <c r="P80" i="6"/>
  <c r="I80" i="6"/>
  <c r="M80" i="6"/>
  <c r="H80" i="6"/>
  <c r="C80" i="6"/>
  <c r="D80" i="6"/>
  <c r="J79" i="6"/>
  <c r="L79" i="6"/>
  <c r="N79" i="6"/>
  <c r="Q79" i="6"/>
  <c r="K79" i="6"/>
  <c r="O79" i="6"/>
  <c r="P79" i="6"/>
  <c r="I79" i="6"/>
  <c r="M79" i="6"/>
  <c r="H79" i="6"/>
  <c r="C79" i="6"/>
  <c r="D79" i="6"/>
  <c r="J78" i="6"/>
  <c r="L78" i="6"/>
  <c r="N78" i="6"/>
  <c r="Q78" i="6"/>
  <c r="K78" i="6"/>
  <c r="O78" i="6"/>
  <c r="P78" i="6"/>
  <c r="I78" i="6"/>
  <c r="M78" i="6"/>
  <c r="H78" i="6"/>
  <c r="D35" i="6"/>
  <c r="D48" i="6"/>
  <c r="D30" i="6"/>
  <c r="D55" i="6"/>
  <c r="D42" i="6"/>
  <c r="D60" i="6"/>
  <c r="D67" i="6"/>
  <c r="D32" i="6"/>
  <c r="D46" i="6"/>
  <c r="D33" i="6"/>
  <c r="D41" i="6"/>
  <c r="D58" i="6"/>
  <c r="D44" i="6"/>
  <c r="D45" i="6"/>
  <c r="D40" i="6"/>
  <c r="D62" i="6"/>
  <c r="D34" i="6"/>
  <c r="D64" i="6"/>
  <c r="D43" i="6"/>
  <c r="D54" i="6"/>
  <c r="D37" i="6"/>
  <c r="D50" i="6"/>
  <c r="D31" i="6"/>
  <c r="D66" i="6"/>
  <c r="D56" i="6"/>
  <c r="D69" i="6"/>
  <c r="D76" i="6"/>
  <c r="D72" i="6"/>
  <c r="D74" i="6"/>
  <c r="D52" i="6"/>
  <c r="D59" i="6"/>
  <c r="D65" i="6"/>
  <c r="D39" i="6"/>
  <c r="D70" i="6"/>
  <c r="D49" i="6"/>
  <c r="D71" i="6"/>
  <c r="D36" i="6"/>
  <c r="D47" i="6"/>
  <c r="D61" i="6"/>
  <c r="D77" i="6"/>
  <c r="D29" i="6"/>
  <c r="D63" i="6"/>
  <c r="D73" i="6"/>
  <c r="D51" i="6"/>
  <c r="D57" i="6"/>
  <c r="D28" i="6"/>
  <c r="D53" i="6"/>
  <c r="D75" i="6"/>
  <c r="D38" i="6"/>
  <c r="D68" i="6"/>
  <c r="D78" i="6"/>
  <c r="N68" i="6"/>
  <c r="Q68" i="6"/>
  <c r="O68" i="6"/>
  <c r="P68" i="6"/>
  <c r="M68" i="6"/>
  <c r="N38" i="6"/>
  <c r="Q38" i="6"/>
  <c r="O38" i="6"/>
  <c r="P38" i="6"/>
  <c r="M38" i="6"/>
  <c r="N75" i="6"/>
  <c r="Q75" i="6"/>
  <c r="O75" i="6"/>
  <c r="P75" i="6"/>
  <c r="M75" i="6"/>
  <c r="N53" i="6"/>
  <c r="Q53" i="6"/>
  <c r="O53" i="6"/>
  <c r="P53" i="6"/>
  <c r="M53" i="6"/>
  <c r="N28" i="6"/>
  <c r="Q28" i="6"/>
  <c r="O28" i="6"/>
  <c r="P28" i="6"/>
  <c r="M28" i="6"/>
  <c r="N57" i="6"/>
  <c r="Q57" i="6"/>
  <c r="O57" i="6"/>
  <c r="P57" i="6"/>
  <c r="M57" i="6"/>
  <c r="N51" i="6"/>
  <c r="Q51" i="6"/>
  <c r="O51" i="6"/>
  <c r="P51" i="6"/>
  <c r="M51" i="6"/>
  <c r="N73" i="6"/>
  <c r="Q73" i="6"/>
  <c r="O73" i="6"/>
  <c r="P73" i="6"/>
  <c r="M73" i="6"/>
  <c r="N63" i="6"/>
  <c r="Q63" i="6"/>
  <c r="O63" i="6"/>
  <c r="P63" i="6"/>
  <c r="M63" i="6"/>
  <c r="N29" i="6"/>
  <c r="Q29" i="6"/>
  <c r="O29" i="6"/>
  <c r="P29" i="6"/>
  <c r="M29" i="6"/>
  <c r="N77" i="6"/>
  <c r="Q77" i="6"/>
  <c r="O77" i="6"/>
  <c r="P77" i="6"/>
  <c r="M77" i="6"/>
  <c r="N61" i="6"/>
  <c r="Q61" i="6"/>
  <c r="O61" i="6"/>
  <c r="P61" i="6"/>
  <c r="M61" i="6"/>
  <c r="N47" i="6"/>
  <c r="Q47" i="6"/>
  <c r="O47" i="6"/>
  <c r="P47" i="6"/>
  <c r="M47" i="6"/>
  <c r="N36" i="6"/>
  <c r="Q36" i="6"/>
  <c r="O36" i="6"/>
  <c r="P36" i="6"/>
  <c r="M36" i="6"/>
  <c r="N71" i="6"/>
  <c r="Q71" i="6"/>
  <c r="O71" i="6"/>
  <c r="P71" i="6"/>
  <c r="M71" i="6"/>
  <c r="N49" i="6"/>
  <c r="Q49" i="6"/>
  <c r="O49" i="6"/>
  <c r="P49" i="6"/>
  <c r="M49" i="6"/>
  <c r="N70" i="6"/>
  <c r="Q70" i="6"/>
  <c r="O70" i="6"/>
  <c r="P70" i="6"/>
  <c r="M70" i="6"/>
  <c r="N39" i="6"/>
  <c r="Q39" i="6"/>
  <c r="O39" i="6"/>
  <c r="P39" i="6"/>
  <c r="M39" i="6"/>
  <c r="N65" i="6"/>
  <c r="Q65" i="6"/>
  <c r="O65" i="6"/>
  <c r="P65" i="6"/>
  <c r="M65" i="6"/>
  <c r="N59" i="6"/>
  <c r="Q59" i="6"/>
  <c r="O59" i="6"/>
  <c r="P59" i="6"/>
  <c r="M59" i="6"/>
  <c r="N52" i="6"/>
  <c r="Q52" i="6"/>
  <c r="O52" i="6"/>
  <c r="P52" i="6"/>
  <c r="M52" i="6"/>
  <c r="N74" i="6"/>
  <c r="Q74" i="6"/>
  <c r="O74" i="6"/>
  <c r="P74" i="6"/>
  <c r="M74" i="6"/>
  <c r="N72" i="6"/>
  <c r="Q72" i="6"/>
  <c r="O72" i="6"/>
  <c r="P72" i="6"/>
  <c r="M72" i="6"/>
  <c r="N76" i="6"/>
  <c r="Q76" i="6"/>
  <c r="O76" i="6"/>
  <c r="P76" i="6"/>
  <c r="M76" i="6"/>
  <c r="N69" i="6"/>
  <c r="Q69" i="6"/>
  <c r="O69" i="6"/>
  <c r="P69" i="6"/>
  <c r="M69" i="6"/>
  <c r="N56" i="6"/>
  <c r="Q56" i="6"/>
  <c r="O56" i="6"/>
  <c r="P56" i="6"/>
  <c r="M56" i="6"/>
  <c r="N66" i="6"/>
  <c r="Q66" i="6"/>
  <c r="O66" i="6"/>
  <c r="P66" i="6"/>
  <c r="M66" i="6"/>
  <c r="N31" i="6"/>
  <c r="Q31" i="6"/>
  <c r="O31" i="6"/>
  <c r="P31" i="6"/>
  <c r="M31" i="6"/>
  <c r="N50" i="6"/>
  <c r="Q50" i="6"/>
  <c r="O50" i="6"/>
  <c r="P50" i="6"/>
  <c r="M50" i="6"/>
  <c r="N37" i="6"/>
  <c r="Q37" i="6"/>
  <c r="O37" i="6"/>
  <c r="P37" i="6"/>
  <c r="M37" i="6"/>
  <c r="N54" i="6"/>
  <c r="Q54" i="6"/>
  <c r="O54" i="6"/>
  <c r="P54" i="6"/>
  <c r="M54" i="6"/>
  <c r="N43" i="6"/>
  <c r="Q43" i="6"/>
  <c r="O43" i="6"/>
  <c r="P43" i="6"/>
  <c r="M43" i="6"/>
  <c r="N64" i="6"/>
  <c r="Q64" i="6"/>
  <c r="O64" i="6"/>
  <c r="P64" i="6"/>
  <c r="M64" i="6"/>
  <c r="N34" i="6"/>
  <c r="Q34" i="6"/>
  <c r="O34" i="6"/>
  <c r="P34" i="6"/>
  <c r="M34" i="6"/>
  <c r="N62" i="6"/>
  <c r="Q62" i="6"/>
  <c r="O62" i="6"/>
  <c r="P62" i="6"/>
  <c r="M62" i="6"/>
  <c r="N40" i="6"/>
  <c r="Q40" i="6"/>
  <c r="O40" i="6"/>
  <c r="P40" i="6"/>
  <c r="M40" i="6"/>
  <c r="N45" i="6"/>
  <c r="Q45" i="6"/>
  <c r="O45" i="6"/>
  <c r="P45" i="6"/>
  <c r="M45" i="6"/>
  <c r="N44" i="6"/>
  <c r="Q44" i="6"/>
  <c r="O44" i="6"/>
  <c r="P44" i="6"/>
  <c r="M44" i="6"/>
  <c r="N58" i="6"/>
  <c r="Q58" i="6"/>
  <c r="O58" i="6"/>
  <c r="P58" i="6"/>
  <c r="M58" i="6"/>
  <c r="N41" i="6"/>
  <c r="Q41" i="6"/>
  <c r="O41" i="6"/>
  <c r="P41" i="6"/>
  <c r="M41" i="6"/>
  <c r="N33" i="6"/>
  <c r="Q33" i="6"/>
  <c r="O33" i="6"/>
  <c r="P33" i="6"/>
  <c r="M33" i="6"/>
  <c r="N46" i="6"/>
  <c r="Q46" i="6"/>
  <c r="O46" i="6"/>
  <c r="P46" i="6"/>
  <c r="M46" i="6"/>
  <c r="N32" i="6"/>
  <c r="Q32" i="6"/>
  <c r="O32" i="6"/>
  <c r="P32" i="6"/>
  <c r="M32" i="6"/>
  <c r="N67" i="6"/>
  <c r="Q67" i="6"/>
  <c r="O67" i="6"/>
  <c r="P67" i="6"/>
  <c r="M67" i="6"/>
  <c r="N60" i="6"/>
  <c r="Q60" i="6"/>
  <c r="O60" i="6"/>
  <c r="P60" i="6"/>
  <c r="M60" i="6"/>
  <c r="N42" i="6"/>
  <c r="Q42" i="6"/>
  <c r="O42" i="6"/>
  <c r="P42" i="6"/>
  <c r="M42" i="6"/>
  <c r="N55" i="6"/>
  <c r="Q55" i="6"/>
  <c r="O55" i="6"/>
  <c r="P55" i="6"/>
  <c r="M55" i="6"/>
  <c r="N30" i="6"/>
  <c r="Q30" i="6"/>
  <c r="O30" i="6"/>
  <c r="P30" i="6"/>
  <c r="M30" i="6"/>
  <c r="G30" i="6"/>
  <c r="N48" i="6"/>
  <c r="Q48" i="6"/>
  <c r="O48" i="6"/>
  <c r="P48" i="6"/>
  <c r="M48" i="6"/>
  <c r="N35" i="6"/>
  <c r="Q35" i="6"/>
  <c r="O35" i="6"/>
  <c r="P35" i="6"/>
  <c r="M35" i="6"/>
  <c r="Q24" i="6"/>
  <c r="P24" i="6"/>
  <c r="O24" i="6"/>
  <c r="N24" i="6"/>
  <c r="M24" i="6"/>
  <c r="L24" i="6"/>
  <c r="K24" i="6"/>
  <c r="J24" i="6"/>
  <c r="I24" i="6"/>
  <c r="H24" i="6"/>
  <c r="D24" i="6"/>
  <c r="C24" i="6"/>
  <c r="Q23" i="6"/>
  <c r="P23" i="6"/>
  <c r="O23" i="6"/>
  <c r="N23" i="6"/>
  <c r="M23" i="6"/>
  <c r="L23" i="6"/>
  <c r="K23" i="6"/>
  <c r="J23" i="6"/>
  <c r="I23" i="6"/>
  <c r="H23" i="6"/>
  <c r="D23" i="6"/>
  <c r="C23" i="6"/>
  <c r="Q22" i="6"/>
  <c r="P22" i="6"/>
  <c r="O22" i="6"/>
  <c r="N22" i="6"/>
  <c r="M22" i="6"/>
  <c r="L22" i="6"/>
  <c r="K22" i="6"/>
  <c r="J22" i="6"/>
  <c r="I22" i="6"/>
  <c r="H22" i="6"/>
  <c r="D22" i="6"/>
  <c r="C22" i="6"/>
  <c r="Q21" i="6"/>
  <c r="P21" i="6"/>
  <c r="O21" i="6"/>
  <c r="N21" i="6"/>
  <c r="M21" i="6"/>
  <c r="L21" i="6"/>
  <c r="K21" i="6"/>
  <c r="J21" i="6"/>
  <c r="I21" i="6"/>
  <c r="H21" i="6"/>
  <c r="D21" i="6"/>
  <c r="C21" i="6"/>
  <c r="I16" i="6"/>
  <c r="I19" i="6"/>
  <c r="H16" i="6"/>
  <c r="H19" i="6"/>
  <c r="J16" i="6"/>
  <c r="J17" i="6"/>
  <c r="J18" i="6"/>
  <c r="K18" i="6"/>
  <c r="L16" i="6"/>
  <c r="L18" i="6"/>
  <c r="O18" i="6"/>
  <c r="N18" i="6"/>
  <c r="I18" i="6"/>
  <c r="M18" i="6"/>
  <c r="H18" i="6"/>
  <c r="C16" i="6"/>
  <c r="C18" i="6"/>
  <c r="K17" i="6"/>
  <c r="L17" i="6"/>
  <c r="O17" i="6"/>
  <c r="N17" i="6"/>
  <c r="M17" i="6"/>
  <c r="C17" i="6"/>
  <c r="Q16" i="6"/>
  <c r="P16" i="6"/>
  <c r="O16" i="6"/>
  <c r="N16" i="6"/>
  <c r="M16" i="6"/>
  <c r="K16" i="6"/>
  <c r="D16" i="6"/>
  <c r="E87" i="5"/>
  <c r="E68" i="5"/>
  <c r="F68" i="5"/>
  <c r="G68" i="5"/>
  <c r="E69" i="5"/>
  <c r="F69" i="5"/>
  <c r="G69" i="5"/>
  <c r="E71" i="5"/>
  <c r="F71" i="5"/>
  <c r="G71" i="5"/>
  <c r="E73" i="5"/>
  <c r="F73" i="5"/>
  <c r="G73" i="5"/>
  <c r="E76" i="5"/>
  <c r="F76" i="5"/>
  <c r="G76" i="5"/>
  <c r="E74" i="5"/>
  <c r="F74" i="5"/>
  <c r="G74" i="5"/>
  <c r="E77" i="5"/>
  <c r="F77" i="5"/>
  <c r="G77" i="5"/>
  <c r="E75" i="5"/>
  <c r="F75" i="5"/>
  <c r="G75" i="5"/>
  <c r="I82" i="5"/>
  <c r="K82" i="5"/>
  <c r="N82" i="5"/>
  <c r="H68" i="5"/>
  <c r="H62" i="5"/>
  <c r="H66" i="5"/>
  <c r="H63" i="5"/>
  <c r="H59" i="5"/>
  <c r="H69" i="5"/>
  <c r="H60" i="5"/>
  <c r="H67" i="5"/>
  <c r="H71" i="5"/>
  <c r="H73" i="5"/>
  <c r="H76" i="5"/>
  <c r="H64" i="5"/>
  <c r="H58" i="5"/>
  <c r="H74" i="5"/>
  <c r="H77" i="5"/>
  <c r="H75" i="5"/>
  <c r="H61" i="5"/>
  <c r="H65" i="5"/>
  <c r="H82" i="5"/>
  <c r="L82" i="5"/>
  <c r="M82" i="5"/>
  <c r="F82" i="5"/>
  <c r="J82" i="5"/>
  <c r="E82" i="5"/>
  <c r="C82" i="5"/>
  <c r="C78" i="5"/>
  <c r="D82" i="5"/>
  <c r="G81" i="5"/>
  <c r="I81" i="5"/>
  <c r="K81" i="5"/>
  <c r="N81" i="5"/>
  <c r="L81" i="5"/>
  <c r="M81" i="5"/>
  <c r="F81" i="5"/>
  <c r="J81" i="5"/>
  <c r="E81" i="5"/>
  <c r="C81" i="5"/>
  <c r="D81" i="5"/>
  <c r="G80" i="5"/>
  <c r="I80" i="5"/>
  <c r="K80" i="5"/>
  <c r="N80" i="5"/>
  <c r="H80" i="5"/>
  <c r="L80" i="5"/>
  <c r="M80" i="5"/>
  <c r="F80" i="5"/>
  <c r="J80" i="5"/>
  <c r="E80" i="5"/>
  <c r="C80" i="5"/>
  <c r="D80" i="5"/>
  <c r="G79" i="5"/>
  <c r="K79" i="5"/>
  <c r="N79" i="5"/>
  <c r="H79" i="5"/>
  <c r="L79" i="5"/>
  <c r="M79" i="5"/>
  <c r="F79" i="5"/>
  <c r="J79" i="5"/>
  <c r="E79" i="5"/>
  <c r="C79" i="5"/>
  <c r="D79" i="5"/>
  <c r="E70" i="5"/>
  <c r="F70" i="5"/>
  <c r="G70" i="5"/>
  <c r="E72" i="5"/>
  <c r="F72" i="5"/>
  <c r="G72" i="5"/>
  <c r="G78" i="5"/>
  <c r="I78" i="5"/>
  <c r="K78" i="5"/>
  <c r="N78" i="5"/>
  <c r="H70" i="5"/>
  <c r="H72" i="5"/>
  <c r="H78" i="5"/>
  <c r="L78" i="5"/>
  <c r="M78" i="5"/>
  <c r="F78" i="5"/>
  <c r="J78" i="5"/>
  <c r="E78" i="5"/>
  <c r="D35" i="5"/>
  <c r="D40" i="5"/>
  <c r="D31" i="5"/>
  <c r="D68" i="5"/>
  <c r="D62" i="5"/>
  <c r="D48" i="5"/>
  <c r="D53" i="5"/>
  <c r="D66" i="5"/>
  <c r="D56" i="5"/>
  <c r="D34" i="5"/>
  <c r="D52" i="5"/>
  <c r="D33" i="5"/>
  <c r="D43" i="5"/>
  <c r="D63" i="5"/>
  <c r="D38" i="5"/>
  <c r="D59" i="5"/>
  <c r="D37" i="5"/>
  <c r="D55" i="5"/>
  <c r="D41" i="5"/>
  <c r="D69" i="5"/>
  <c r="D49" i="5"/>
  <c r="D60" i="5"/>
  <c r="D44" i="5"/>
  <c r="D67" i="5"/>
  <c r="D50" i="5"/>
  <c r="D71" i="5"/>
  <c r="D73" i="5"/>
  <c r="D76" i="5"/>
  <c r="D64" i="5"/>
  <c r="D42" i="5"/>
  <c r="D47" i="5"/>
  <c r="D54" i="5"/>
  <c r="D58" i="5"/>
  <c r="D74" i="5"/>
  <c r="D36" i="5"/>
  <c r="D77" i="5"/>
  <c r="D51" i="5"/>
  <c r="D46" i="5"/>
  <c r="D45" i="5"/>
  <c r="D75" i="5"/>
  <c r="D32" i="5"/>
  <c r="D70" i="5"/>
  <c r="D72" i="5"/>
  <c r="D57" i="5"/>
  <c r="D30" i="5"/>
  <c r="D28" i="5"/>
  <c r="D39" i="5"/>
  <c r="D65" i="5"/>
  <c r="D29" i="5"/>
  <c r="D61" i="5"/>
  <c r="D78" i="5"/>
  <c r="K61" i="5"/>
  <c r="N61" i="5"/>
  <c r="L61" i="5"/>
  <c r="M61" i="5"/>
  <c r="J61" i="5"/>
  <c r="K29" i="5"/>
  <c r="N29" i="5"/>
  <c r="L29" i="5"/>
  <c r="M29" i="5"/>
  <c r="J29" i="5"/>
  <c r="K65" i="5"/>
  <c r="N65" i="5"/>
  <c r="L65" i="5"/>
  <c r="M65" i="5"/>
  <c r="J65" i="5"/>
  <c r="K39" i="5"/>
  <c r="N39" i="5"/>
  <c r="L39" i="5"/>
  <c r="M39" i="5"/>
  <c r="J39" i="5"/>
  <c r="K28" i="5"/>
  <c r="N28" i="5"/>
  <c r="L28" i="5"/>
  <c r="M28" i="5"/>
  <c r="J28" i="5"/>
  <c r="K30" i="5"/>
  <c r="N30" i="5"/>
  <c r="L30" i="5"/>
  <c r="M30" i="5"/>
  <c r="J30" i="5"/>
  <c r="K57" i="5"/>
  <c r="N57" i="5"/>
  <c r="L57" i="5"/>
  <c r="M57" i="5"/>
  <c r="J57" i="5"/>
  <c r="K72" i="5"/>
  <c r="N72" i="5"/>
  <c r="L72" i="5"/>
  <c r="M72" i="5"/>
  <c r="J72" i="5"/>
  <c r="K70" i="5"/>
  <c r="N70" i="5"/>
  <c r="L70" i="5"/>
  <c r="M70" i="5"/>
  <c r="J70" i="5"/>
  <c r="K32" i="5"/>
  <c r="N32" i="5"/>
  <c r="L32" i="5"/>
  <c r="M32" i="5"/>
  <c r="J32" i="5"/>
  <c r="K75" i="5"/>
  <c r="N75" i="5"/>
  <c r="L75" i="5"/>
  <c r="M75" i="5"/>
  <c r="J75" i="5"/>
  <c r="K45" i="5"/>
  <c r="N45" i="5"/>
  <c r="L45" i="5"/>
  <c r="M45" i="5"/>
  <c r="J45" i="5"/>
  <c r="K46" i="5"/>
  <c r="N46" i="5"/>
  <c r="L46" i="5"/>
  <c r="M46" i="5"/>
  <c r="J46" i="5"/>
  <c r="K51" i="5"/>
  <c r="N51" i="5"/>
  <c r="L51" i="5"/>
  <c r="M51" i="5"/>
  <c r="J51" i="5"/>
  <c r="K77" i="5"/>
  <c r="N77" i="5"/>
  <c r="L77" i="5"/>
  <c r="M77" i="5"/>
  <c r="J77" i="5"/>
  <c r="K36" i="5"/>
  <c r="N36" i="5"/>
  <c r="L36" i="5"/>
  <c r="M36" i="5"/>
  <c r="J36" i="5"/>
  <c r="K74" i="5"/>
  <c r="N74" i="5"/>
  <c r="L74" i="5"/>
  <c r="M74" i="5"/>
  <c r="J74" i="5"/>
  <c r="K58" i="5"/>
  <c r="N58" i="5"/>
  <c r="L58" i="5"/>
  <c r="M58" i="5"/>
  <c r="J58" i="5"/>
  <c r="K54" i="5"/>
  <c r="N54" i="5"/>
  <c r="L54" i="5"/>
  <c r="M54" i="5"/>
  <c r="J54" i="5"/>
  <c r="K47" i="5"/>
  <c r="N47" i="5"/>
  <c r="L47" i="5"/>
  <c r="M47" i="5"/>
  <c r="J47" i="5"/>
  <c r="K42" i="5"/>
  <c r="N42" i="5"/>
  <c r="L42" i="5"/>
  <c r="M42" i="5"/>
  <c r="J42" i="5"/>
  <c r="K64" i="5"/>
  <c r="N64" i="5"/>
  <c r="L64" i="5"/>
  <c r="M64" i="5"/>
  <c r="J64" i="5"/>
  <c r="K76" i="5"/>
  <c r="N76" i="5"/>
  <c r="L76" i="5"/>
  <c r="M76" i="5"/>
  <c r="J76" i="5"/>
  <c r="K73" i="5"/>
  <c r="N73" i="5"/>
  <c r="L73" i="5"/>
  <c r="M73" i="5"/>
  <c r="J73" i="5"/>
  <c r="K71" i="5"/>
  <c r="N71" i="5"/>
  <c r="L71" i="5"/>
  <c r="M71" i="5"/>
  <c r="J71" i="5"/>
  <c r="K50" i="5"/>
  <c r="N50" i="5"/>
  <c r="L50" i="5"/>
  <c r="M50" i="5"/>
  <c r="J50" i="5"/>
  <c r="K67" i="5"/>
  <c r="N67" i="5"/>
  <c r="L67" i="5"/>
  <c r="M67" i="5"/>
  <c r="J67" i="5"/>
  <c r="K44" i="5"/>
  <c r="N44" i="5"/>
  <c r="L44" i="5"/>
  <c r="M44" i="5"/>
  <c r="J44" i="5"/>
  <c r="K60" i="5"/>
  <c r="N60" i="5"/>
  <c r="L60" i="5"/>
  <c r="M60" i="5"/>
  <c r="J60" i="5"/>
  <c r="K49" i="5"/>
  <c r="N49" i="5"/>
  <c r="L49" i="5"/>
  <c r="M49" i="5"/>
  <c r="J49" i="5"/>
  <c r="K69" i="5"/>
  <c r="N69" i="5"/>
  <c r="L69" i="5"/>
  <c r="M69" i="5"/>
  <c r="J69" i="5"/>
  <c r="K41" i="5"/>
  <c r="N41" i="5"/>
  <c r="L41" i="5"/>
  <c r="M41" i="5"/>
  <c r="J41" i="5"/>
  <c r="K55" i="5"/>
  <c r="N55" i="5"/>
  <c r="L55" i="5"/>
  <c r="M55" i="5"/>
  <c r="J55" i="5"/>
  <c r="K37" i="5"/>
  <c r="N37" i="5"/>
  <c r="L37" i="5"/>
  <c r="M37" i="5"/>
  <c r="J37" i="5"/>
  <c r="K59" i="5"/>
  <c r="N59" i="5"/>
  <c r="L59" i="5"/>
  <c r="M59" i="5"/>
  <c r="J59" i="5"/>
  <c r="K38" i="5"/>
  <c r="N38" i="5"/>
  <c r="L38" i="5"/>
  <c r="M38" i="5"/>
  <c r="J38" i="5"/>
  <c r="K63" i="5"/>
  <c r="N63" i="5"/>
  <c r="L63" i="5"/>
  <c r="M63" i="5"/>
  <c r="J63" i="5"/>
  <c r="K43" i="5"/>
  <c r="N43" i="5"/>
  <c r="L43" i="5"/>
  <c r="M43" i="5"/>
  <c r="J43" i="5"/>
  <c r="K33" i="5"/>
  <c r="N33" i="5"/>
  <c r="L33" i="5"/>
  <c r="M33" i="5"/>
  <c r="J33" i="5"/>
  <c r="K52" i="5"/>
  <c r="N52" i="5"/>
  <c r="L52" i="5"/>
  <c r="M52" i="5"/>
  <c r="J52" i="5"/>
  <c r="K34" i="5"/>
  <c r="N34" i="5"/>
  <c r="L34" i="5"/>
  <c r="M34" i="5"/>
  <c r="J34" i="5"/>
  <c r="K56" i="5"/>
  <c r="N56" i="5"/>
  <c r="L56" i="5"/>
  <c r="M56" i="5"/>
  <c r="J56" i="5"/>
  <c r="K66" i="5"/>
  <c r="N66" i="5"/>
  <c r="L66" i="5"/>
  <c r="M66" i="5"/>
  <c r="J66" i="5"/>
  <c r="K53" i="5"/>
  <c r="N53" i="5"/>
  <c r="L53" i="5"/>
  <c r="M53" i="5"/>
  <c r="J53" i="5"/>
  <c r="K48" i="5"/>
  <c r="N48" i="5"/>
  <c r="L48" i="5"/>
  <c r="M48" i="5"/>
  <c r="J48" i="5"/>
  <c r="K62" i="5"/>
  <c r="N62" i="5"/>
  <c r="L62" i="5"/>
  <c r="M62" i="5"/>
  <c r="J62" i="5"/>
  <c r="K68" i="5"/>
  <c r="N68" i="5"/>
  <c r="L68" i="5"/>
  <c r="M68" i="5"/>
  <c r="J68" i="5"/>
  <c r="K31" i="5"/>
  <c r="N31" i="5"/>
  <c r="L31" i="5"/>
  <c r="M31" i="5"/>
  <c r="J31" i="5"/>
  <c r="K40" i="5"/>
  <c r="N40" i="5"/>
  <c r="L40" i="5"/>
  <c r="M40" i="5"/>
  <c r="J40" i="5"/>
  <c r="K35" i="5"/>
  <c r="N35" i="5"/>
  <c r="L35" i="5"/>
  <c r="M35" i="5"/>
  <c r="J35" i="5"/>
  <c r="N24" i="5"/>
  <c r="M24" i="5"/>
  <c r="L24" i="5"/>
  <c r="K24" i="5"/>
  <c r="J24" i="5"/>
  <c r="I24" i="5"/>
  <c r="H24" i="5"/>
  <c r="G24" i="5"/>
  <c r="F24" i="5"/>
  <c r="E24" i="5"/>
  <c r="D24" i="5"/>
  <c r="C24" i="5"/>
  <c r="N23" i="5"/>
  <c r="M23" i="5"/>
  <c r="L23" i="5"/>
  <c r="K23" i="5"/>
  <c r="J23" i="5"/>
  <c r="I23" i="5"/>
  <c r="H23" i="5"/>
  <c r="G23" i="5"/>
  <c r="F23" i="5"/>
  <c r="E23" i="5"/>
  <c r="D23" i="5"/>
  <c r="C23" i="5"/>
  <c r="N22" i="5"/>
  <c r="M22" i="5"/>
  <c r="L22" i="5"/>
  <c r="K22" i="5"/>
  <c r="J22" i="5"/>
  <c r="I22" i="5"/>
  <c r="H22" i="5"/>
  <c r="G22" i="5"/>
  <c r="F22" i="5"/>
  <c r="E22" i="5"/>
  <c r="D22" i="5"/>
  <c r="C22" i="5"/>
  <c r="N21" i="5"/>
  <c r="M21" i="5"/>
  <c r="L21" i="5"/>
  <c r="K21" i="5"/>
  <c r="J21" i="5"/>
  <c r="I21" i="5"/>
  <c r="H21" i="5"/>
  <c r="G21" i="5"/>
  <c r="F21" i="5"/>
  <c r="E21" i="5"/>
  <c r="D21" i="5"/>
  <c r="C21" i="5"/>
  <c r="F16" i="5"/>
  <c r="F19" i="5"/>
  <c r="E16" i="5"/>
  <c r="E19" i="5"/>
  <c r="C16" i="5"/>
  <c r="C18" i="5"/>
  <c r="G16" i="5"/>
  <c r="G18" i="5"/>
  <c r="H18" i="5"/>
  <c r="I16" i="5"/>
  <c r="I18" i="5"/>
  <c r="L18" i="5"/>
  <c r="K18" i="5"/>
  <c r="F18" i="5"/>
  <c r="J18" i="5"/>
  <c r="E18" i="5"/>
  <c r="C17" i="5"/>
  <c r="H17" i="5"/>
  <c r="I17" i="5"/>
  <c r="L17" i="5"/>
  <c r="K17" i="5"/>
  <c r="J17" i="5"/>
  <c r="N16" i="5"/>
  <c r="M16" i="5"/>
  <c r="L16" i="5"/>
  <c r="K16" i="5"/>
  <c r="J16" i="5"/>
  <c r="H16" i="5"/>
  <c r="D16" i="5"/>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16" i="3"/>
  <c r="D81" i="3"/>
  <c r="D82" i="3"/>
  <c r="D80" i="3"/>
  <c r="D22" i="3"/>
  <c r="D23" i="3"/>
  <c r="D24" i="3"/>
  <c r="D79" i="3"/>
  <c r="D21" i="3"/>
  <c r="Q1" i="3"/>
  <c r="D119" i="3"/>
  <c r="D118" i="3"/>
  <c r="D117" i="3"/>
  <c r="D116" i="3"/>
  <c r="D115" i="3"/>
  <c r="D114" i="3"/>
  <c r="D113" i="3"/>
  <c r="D112" i="3"/>
  <c r="D111" i="3"/>
  <c r="D110" i="3"/>
  <c r="D109" i="3"/>
  <c r="D108" i="3"/>
  <c r="D107" i="3"/>
  <c r="D106" i="3"/>
  <c r="D105" i="3"/>
  <c r="D104" i="3"/>
  <c r="D103" i="3"/>
  <c r="D102" i="3"/>
  <c r="G76" i="3"/>
  <c r="G72" i="3"/>
  <c r="G68" i="3"/>
  <c r="G67" i="3"/>
  <c r="G62" i="3"/>
  <c r="G58" i="3"/>
  <c r="G55" i="3"/>
  <c r="G52" i="3"/>
  <c r="G49" i="3"/>
  <c r="G40" i="3"/>
  <c r="G39" i="3"/>
  <c r="G36" i="3"/>
  <c r="G33" i="3"/>
  <c r="G30" i="3"/>
  <c r="G29" i="3"/>
  <c r="D80" i="1"/>
  <c r="D22" i="1"/>
  <c r="D55" i="1"/>
  <c r="D81" i="1"/>
  <c r="D23" i="1"/>
  <c r="D82" i="1"/>
  <c r="D24" i="1"/>
  <c r="D64" i="1"/>
  <c r="D43" i="1"/>
  <c r="D36" i="1"/>
  <c r="D68" i="1"/>
  <c r="D49" i="1"/>
  <c r="D42" i="1"/>
  <c r="D74" i="1"/>
  <c r="D59" i="1"/>
  <c r="D28" i="1"/>
  <c r="D72" i="1"/>
  <c r="D30" i="1"/>
  <c r="D79" i="1"/>
  <c r="D21" i="1"/>
  <c r="D44" i="1"/>
  <c r="D76" i="1"/>
  <c r="D57" i="1"/>
  <c r="D50" i="1"/>
  <c r="D34" i="1"/>
  <c r="D38" i="1"/>
  <c r="D45" i="1"/>
  <c r="D40" i="1"/>
  <c r="D46" i="1"/>
  <c r="D48" i="1"/>
  <c r="D29" i="1"/>
  <c r="D61" i="1"/>
  <c r="D54" i="1"/>
  <c r="D35" i="1"/>
  <c r="D51" i="1"/>
  <c r="D52" i="1"/>
  <c r="D33" i="1"/>
  <c r="D65" i="1"/>
  <c r="D58" i="1"/>
  <c r="D47" i="1"/>
  <c r="D67" i="1"/>
  <c r="D70" i="1"/>
  <c r="D75" i="1"/>
  <c r="D69" i="1"/>
  <c r="D63" i="1"/>
  <c r="D32" i="1"/>
  <c r="D77" i="1"/>
  <c r="D71" i="1"/>
  <c r="D53" i="1"/>
  <c r="D56" i="1"/>
  <c r="D37" i="1"/>
  <c r="D62" i="1"/>
  <c r="D39" i="1"/>
  <c r="D60" i="1"/>
  <c r="D41" i="1"/>
  <c r="D73" i="1"/>
  <c r="D66" i="1"/>
  <c r="D31" i="1"/>
  <c r="D78" i="1"/>
  <c r="D16" i="1"/>
</calcChain>
</file>

<file path=xl/sharedStrings.xml><?xml version="1.0" encoding="utf-8"?>
<sst xmlns="http://schemas.openxmlformats.org/spreadsheetml/2006/main" count="876" uniqueCount="326">
  <si>
    <t xml:space="preserve">US STATES </t>
  </si>
  <si>
    <t>TOP 10</t>
  </si>
  <si>
    <t>TOP 40</t>
  </si>
  <si>
    <t>TOP 30</t>
  </si>
  <si>
    <t>TOP 20</t>
  </si>
  <si>
    <t xml:space="preserve">North Carolina </t>
  </si>
  <si>
    <t xml:space="preserve">Washington </t>
  </si>
  <si>
    <t xml:space="preserve">Virginia </t>
  </si>
  <si>
    <t xml:space="preserve">Michigan </t>
  </si>
  <si>
    <t xml:space="preserve">Maryland </t>
  </si>
  <si>
    <t xml:space="preserve">Indiana </t>
  </si>
  <si>
    <t xml:space="preserve">Minnesota </t>
  </si>
  <si>
    <t xml:space="preserve">Tennessee </t>
  </si>
  <si>
    <t>Colorado</t>
  </si>
  <si>
    <t xml:space="preserve">Arizona </t>
  </si>
  <si>
    <t xml:space="preserve">Wisconsin </t>
  </si>
  <si>
    <t xml:space="preserve">Missouri </t>
  </si>
  <si>
    <t>Connecticut</t>
  </si>
  <si>
    <t xml:space="preserve">Louisiana </t>
  </si>
  <si>
    <t xml:space="preserve">Oregon </t>
  </si>
  <si>
    <t xml:space="preserve">South Carolina </t>
  </si>
  <si>
    <t xml:space="preserve">Alabama </t>
  </si>
  <si>
    <t xml:space="preserve">Kentucky </t>
  </si>
  <si>
    <t xml:space="preserve">Oklahoma </t>
  </si>
  <si>
    <t xml:space="preserve">Iowa </t>
  </si>
  <si>
    <t xml:space="preserve">Utah </t>
  </si>
  <si>
    <t xml:space="preserve">Kansas </t>
  </si>
  <si>
    <t xml:space="preserve">Nevada </t>
  </si>
  <si>
    <t>Arkansas</t>
  </si>
  <si>
    <t xml:space="preserve">Nebraska </t>
  </si>
  <si>
    <t xml:space="preserve">Mississippi </t>
  </si>
  <si>
    <t xml:space="preserve">New Mexico </t>
  </si>
  <si>
    <t xml:space="preserve">Hawaii </t>
  </si>
  <si>
    <t xml:space="preserve">New Hampshire </t>
  </si>
  <si>
    <t xml:space="preserve">West Virginia </t>
  </si>
  <si>
    <t xml:space="preserve">Delaware </t>
  </si>
  <si>
    <t xml:space="preserve">Idaho </t>
  </si>
  <si>
    <t>Maine</t>
  </si>
  <si>
    <t>Rhode Island</t>
  </si>
  <si>
    <t>North Dakota</t>
  </si>
  <si>
    <t xml:space="preserve">Alaska </t>
  </si>
  <si>
    <t xml:space="preserve">South Dakota </t>
  </si>
  <si>
    <t xml:space="preserve">Montana </t>
  </si>
  <si>
    <t xml:space="preserve">Wyoming </t>
  </si>
  <si>
    <t xml:space="preserve">Vermont </t>
  </si>
  <si>
    <t>#</t>
  </si>
  <si>
    <t>California*</t>
  </si>
  <si>
    <t xml:space="preserve">Florida* </t>
  </si>
  <si>
    <t>Illinois*</t>
  </si>
  <si>
    <t xml:space="preserve">Pennsylvania* </t>
  </si>
  <si>
    <t>Ohio*</t>
  </si>
  <si>
    <t xml:space="preserve">New Jersey* </t>
  </si>
  <si>
    <t>Georgia*</t>
  </si>
  <si>
    <t>Texas**</t>
  </si>
  <si>
    <t>New York***</t>
  </si>
  <si>
    <t>TOTAL****</t>
  </si>
  <si>
    <t>SOURCE LINKS</t>
  </si>
  <si>
    <t>http://www.macomptroller.info/comptroller/docs/reports-audits/cafr/cafr-fy17.pdf</t>
  </si>
  <si>
    <t>https://www.sco.ca.gov/Files-ARD/CAFR/cafr17web.pdf</t>
  </si>
  <si>
    <t>https://www.osc.state.ny.us/finance/finreports/cafr/2017cafr.pdf</t>
  </si>
  <si>
    <t>https://www.myfloridacfo.com/division/aa/reports/documents/2017CAFR.pdf</t>
  </si>
  <si>
    <t>https://illinoiscomptroller.gov/financial-data/find-a-report/comprehensive-reporting/comprehensive-annual-financial-report-cafr/fiscal-year-2017/</t>
  </si>
  <si>
    <t>https://www.budget.pa.gov/PublicationsAndReports/AnnualFinancialReport/Documents/june-30-2017-cafr.pdf</t>
  </si>
  <si>
    <t>https://obm.ohio.gov/StateAccounting/financialreporting/doc/cafr/2017/cafr_2017.pdf</t>
  </si>
  <si>
    <t>https://www.state.nj.us/treasury/omb/publications/17cafr/pdf/fullcafr.pdf</t>
  </si>
  <si>
    <t>https://sao.georgia.gov/sites/sao.georgia.gov/files/related_files/site_page/sao-17-cafr.pdf</t>
  </si>
  <si>
    <t>Page #</t>
  </si>
  <si>
    <t>44-45</t>
  </si>
  <si>
    <t>32-33</t>
  </si>
  <si>
    <t>38-39</t>
  </si>
  <si>
    <t xml:space="preserve">North Carolina* </t>
  </si>
  <si>
    <t xml:space="preserve">Massachusetts* </t>
  </si>
  <si>
    <t>46-47</t>
  </si>
  <si>
    <t>https://www.ofm.wa.gov/sites/default/files/public/accounting/report/CAFR/2017/05entitywide.pdf</t>
  </si>
  <si>
    <t>Washington*</t>
  </si>
  <si>
    <t>https://www.doa.virginia.gov/reports/CAFR/2017/F_Government_Wide.pdf</t>
  </si>
  <si>
    <t>40-41</t>
  </si>
  <si>
    <t>Virginia*</t>
  </si>
  <si>
    <t>https://www.michigan.gov/documents/budget/CAFR_FY_2017_611511_7.pdf</t>
  </si>
  <si>
    <t>Michigan #</t>
  </si>
  <si>
    <t>Maryland *</t>
  </si>
  <si>
    <t>https://finances.marylandtaxes.gov/static_files/revenue/cafr/cafr2017.pdf</t>
  </si>
  <si>
    <t>Indiana *</t>
  </si>
  <si>
    <t>https://www.in.gov/auditor/files/Financial%20Section%20-%20Basic%20Financial%20Statements%20-%20Pages%2022%20-%2048.pdf</t>
  </si>
  <si>
    <t>Minnesota *</t>
  </si>
  <si>
    <t>https://mn.gov/mmb/assets/2017-cafr-accessible_tcm1059-321449.pdf</t>
  </si>
  <si>
    <t>28-29</t>
  </si>
  <si>
    <t>https://www.tn.gov/content/dam/tn/finance/accounts/cafr/cafr_fy17.pdf</t>
  </si>
  <si>
    <t>Tennessee *</t>
  </si>
  <si>
    <t>https://www.colorado.gov/pacific/sites/default/files/State%20of%20Colorado%20CAFR%20FY2017.pdf</t>
  </si>
  <si>
    <t>Colorado*</t>
  </si>
  <si>
    <t>https://gao.az.gov/sites/default/files/CAFR%20-%20Final%20NoSig%20-%20FY2017.pdf</t>
  </si>
  <si>
    <t>Arizona *</t>
  </si>
  <si>
    <t xml:space="preserve">Wisconsin* </t>
  </si>
  <si>
    <t>https://doa.wi.gov/DEBFCapitalFinance/2017/2017_CAFR_Linked.pdf</t>
  </si>
  <si>
    <t>Missouri *</t>
  </si>
  <si>
    <t>https://oa.mo.gov/sites/default/files/CAFR%202017.pdf</t>
  </si>
  <si>
    <t>Connecticut*</t>
  </si>
  <si>
    <t>https://www.osc.ct.gov/reports/2017CAFRrev012918.pdf</t>
  </si>
  <si>
    <t>https://www.doa.la.gov/osrap/library/Publications/CAFR2017.pdf</t>
  </si>
  <si>
    <t>Louisiana *</t>
  </si>
  <si>
    <t>https://www.oregon.gov/das/Financial/Acctng/Documents/2017_CAFR.pdf</t>
  </si>
  <si>
    <t>Oregon *</t>
  </si>
  <si>
    <t>30-31</t>
  </si>
  <si>
    <t xml:space="preserve">South Carolina* </t>
  </si>
  <si>
    <t>Alabama #</t>
  </si>
  <si>
    <t>http://comptroller.alabama.gov/wp-content/uploads/sites/15/2018/11/CAFR-2017.Alabama.pdf</t>
  </si>
  <si>
    <t>Kentucky *</t>
  </si>
  <si>
    <t>https://finance.ky.gov/Office%20of%20the%20Controller/ControllerDocuments/2017%20CAFR.pdf</t>
  </si>
  <si>
    <t>https://ok.gov/OSF/documents/cafr2017.pdf</t>
  </si>
  <si>
    <t>Oklahoma *</t>
  </si>
  <si>
    <t>https://das.iowa.gov/sites/default/files/acct_sae/cafr/fy17_financial.pdf</t>
  </si>
  <si>
    <t>Iowa *</t>
  </si>
  <si>
    <t>34-35</t>
  </si>
  <si>
    <t>https://treasurer.utah.gov/wp-content/uploads/sites/10/2017/12/2017-State-of-Utah-CAFR.pdf</t>
  </si>
  <si>
    <t>Utah *</t>
  </si>
  <si>
    <t>https://admin.ks.gov/docs/default-source/cfo/cafr/2017-cafr---final.pdf</t>
  </si>
  <si>
    <t>https://comptroller.texas.gov/transparency/reports/comprehensive-annual-financial/2017/96-471.pdf</t>
  </si>
  <si>
    <t>https://dc.statelibrary.sc.gov/bitstream/handle/10827/26369/CG_Comprehensive_Annual_Report_2017-06-30.pdf</t>
  </si>
  <si>
    <t>Kansas *</t>
  </si>
  <si>
    <t>Nevada *</t>
  </si>
  <si>
    <t>http://controller.nv.gov/financialreports/CAFR_pdf_files/FY17All.pdf</t>
  </si>
  <si>
    <t>18-19</t>
  </si>
  <si>
    <t>https://www.dfa.arkansas.gov/images/uploads/accountingOffice/cafr2017.pdf</t>
  </si>
  <si>
    <t>Arkansas *</t>
  </si>
  <si>
    <t>16-17</t>
  </si>
  <si>
    <t>http://das.nebraska.gov/accounting/cafr/cafr2017.pdf</t>
  </si>
  <si>
    <t>Nebraska *</t>
  </si>
  <si>
    <t>http://www.dfa.ms.gov/media/6359/2017-comprehensive-annual-financial-report.pdf</t>
  </si>
  <si>
    <t>https://files.nc.gov/ncosc/CAFR/2017/2017%20Comprehensive%20Annual%20Financial%20Report_bookmarks.pdf</t>
  </si>
  <si>
    <t>26-27</t>
  </si>
  <si>
    <t>http://www.nmdfa.state.nm.us/uploads/files/Board%20of%20Finance/2018/341-A_Comprehensive_Annual_Financial_Report_CAFR_FY2017.pdf</t>
  </si>
  <si>
    <t>Mississippi *</t>
  </si>
  <si>
    <t>New Mexico *</t>
  </si>
  <si>
    <t>https://ags.hawaii.gov/wp-content/uploads/2018/01/SOHCAFRFY2017Final.pdf</t>
  </si>
  <si>
    <t>https://www.nh.gov/treasury/documents/cafr-fy-2017.pdf</t>
  </si>
  <si>
    <t>https://finance.wv.gov/FARS/CAFR/Documents/CAFR2017.pdf</t>
  </si>
  <si>
    <t>22-23</t>
  </si>
  <si>
    <t>https://accounting.delaware.gov/2017cafr.pdf</t>
  </si>
  <si>
    <t>https://www.sco.idaho.gov/web/DSADoc.nsf/1E5A9902C226BFA8872580A300723AFD/$FILE/CAFR%20Complete%202017R.pdf</t>
  </si>
  <si>
    <t>https://www.maine.gov/osc/sites/maine.gov.osc/files/inline-files/cafr2017.pdf</t>
  </si>
  <si>
    <t>20-21</t>
  </si>
  <si>
    <t>http://controller.admin.ri.gov/documents/Financial%20Reports//119_Comprehensive%20Annual%20Financial%20Report_06-30-2017.pdf</t>
  </si>
  <si>
    <t>https://www.nd.gov/omb/sites/omb/files/documents/agency/financial/cafr/2017-cafr-toc.pdf</t>
  </si>
  <si>
    <t>http://doa.alaska.gov/dof/reports/resource/2017cafr.pdf</t>
  </si>
  <si>
    <t>https://bfm.sd.gov/cafr/SD_CAFR_2017.PDF</t>
  </si>
  <si>
    <t>https://sfsd.mt.gov/Portals/24/FY17%20CAFR%20web%20protected.pdf</t>
  </si>
  <si>
    <t>https://drive.google.com/file/d/1nrESzEcit0StjIz8r0GfZWbPLqurLnAO/view</t>
  </si>
  <si>
    <t>https://finance.vermont.gov/sites/finance/files/documents/Rpts_Pubs/CAFR/FIN-2017_CAFR_FINAL.pdf</t>
  </si>
  <si>
    <t>Hawaii *</t>
  </si>
  <si>
    <t xml:space="preserve">New Hampshire * </t>
  </si>
  <si>
    <t xml:space="preserve">West Virginia * </t>
  </si>
  <si>
    <t>Delaware *</t>
  </si>
  <si>
    <t>Idaho *</t>
  </si>
  <si>
    <t>Maine *</t>
  </si>
  <si>
    <t>Rhode Island *</t>
  </si>
  <si>
    <t>North Dakota *</t>
  </si>
  <si>
    <t>Alaska *</t>
  </si>
  <si>
    <t>South Dakota *</t>
  </si>
  <si>
    <t>Montana *</t>
  </si>
  <si>
    <t>Wyoming *</t>
  </si>
  <si>
    <t>Vermont *</t>
  </si>
  <si>
    <t>32-34</t>
  </si>
  <si>
    <t xml:space="preserve">JIS RAPID RESPONSE MEMORANDUM                                                                                                                                                                                                                                                                                                                                                                                                             
</t>
  </si>
  <si>
    <t>% OF
TOTAL</t>
  </si>
  <si>
    <t>US State</t>
  </si>
  <si>
    <t>GDP
2017                                          (Millions of dollars)</t>
  </si>
  <si>
    <r>
      <t>Pop.</t>
    </r>
    <r>
      <rPr>
        <vertAlign val="superscript"/>
        <sz val="10"/>
        <color theme="1"/>
        <rFont val="Arial"/>
        <family val="2"/>
      </rPr>
      <t>##</t>
    </r>
  </si>
  <si>
    <t>***** Source: "News Release: GDP" Bureau of Economic Analysis, 2018, 24 Nov. 2018 &lt;https://www.bea.gov/system/files/2018-11/qgdpstate1118.pdf&gt;;</t>
  </si>
  <si>
    <r>
      <t xml:space="preserve">Notes:  </t>
    </r>
    <r>
      <rPr>
        <sz val="10"/>
        <color theme="1"/>
        <rFont val="Arial"/>
        <family val="2"/>
        <charset val="204"/>
      </rPr>
      <t xml:space="preserve">                                                                             </t>
    </r>
    <r>
      <rPr>
        <sz val="10"/>
        <color theme="1"/>
        <rFont val="Arial"/>
        <family val="2"/>
        <charset val="204"/>
      </rPr>
      <t xml:space="preserve">
</t>
    </r>
  </si>
  <si>
    <t xml:space="preserve">**** State total does not add up to US Total GDP (Line60: Official BEA total US GDP 2017) because Washington DC and overseas activity were excluded;        </t>
  </si>
  <si>
    <t xml:space="preserve">##"Annual Estimates of the Resident Population for the United States, Regions, States, and Puerto Rico: April 1, 2010 to July 1, 2017" US Census Bureau, 2018 </t>
  </si>
  <si>
    <t>BEA Total US GDP 2017*****</t>
  </si>
  <si>
    <t xml:space="preserve">   https://www.census.gov/</t>
  </si>
  <si>
    <t>US Population (2017)</t>
  </si>
  <si>
    <r>
      <rPr>
        <b/>
        <sz val="10"/>
        <color theme="1"/>
        <rFont val="Arial"/>
        <family val="2"/>
        <charset val="204"/>
      </rPr>
      <t xml:space="preserve">EXECUTIVE SUMMARY:  </t>
    </r>
    <r>
      <rPr>
        <sz val="10"/>
        <color theme="1"/>
        <rFont val="Arial"/>
        <family val="2"/>
        <charset val="204"/>
      </rPr>
      <t xml:space="preserve">The table below presents the US States' GDPs in current US dollars for 2017, as well as financial information on Assets, Liabilities and Net position/worth derived from the Statement of Net position in the Comprehensive Annual Financial Reports of the top ten States for the fiscal year of 2016-2017. Gross domestic product (GDP) is the value of the goods and services produced by the nation’s economy less the value of the goods and services used up in production. GDP is also equal to the sum of personal consumption expenditures, gross private domestic investment, net exports of goods and services, and government consumption expenditures and gross investment. The statement of net position presents all of the State's financial and capital resources in a format in which assets and deferred outflows of resources  equal liabilities and deferred inflows of resources plus net position. Over time, increase or decrease in net worth indicates whether the financial position of the State is improving or deteriorating. A significant factor contributing to the unrestricted net deficit is that governments recognize a liability on the government-wide Statement of Net Position as soon as obligation occurs, while financing and budgeting functions focus on when a liability will be paid.
</t>
    </r>
  </si>
  <si>
    <t xml:space="preserve">*For Fiscal Year Ended 30 June 2017; and adjusted for deferred inflows and outflows;  </t>
  </si>
  <si>
    <t xml:space="preserve">**For Fiscal Year Ended 31 Aug, 2017;  and adjusted for deferred inflows and outflows; </t>
  </si>
  <si>
    <t>*** For Fiscal Year Ended March 31, 2017; and adjusted for deferred inflows and outflows;</t>
  </si>
  <si>
    <t xml:space="preserve"># For Fiscal Year Ended September 30, 2017; and adjusted for deferred inflows and outflows  </t>
  </si>
  <si>
    <t>US Fed Govt Net Liab Per Citizen</t>
  </si>
  <si>
    <t>Federal Govt</t>
  </si>
  <si>
    <t>Federal and 50 States</t>
  </si>
  <si>
    <r>
      <rPr>
        <b/>
        <sz val="10"/>
        <color theme="1"/>
        <rFont val="Arial"/>
        <family val="2"/>
        <charset val="204"/>
      </rPr>
      <t>50 States</t>
    </r>
    <r>
      <rPr>
        <b/>
        <sz val="10"/>
        <color theme="1"/>
        <rFont val="Arial"/>
        <family val="2"/>
        <charset val="204"/>
      </rPr>
      <t>****</t>
    </r>
  </si>
  <si>
    <t>NA</t>
  </si>
  <si>
    <r>
      <rPr>
        <b/>
        <sz val="10"/>
        <color theme="1"/>
        <rFont val="Arial"/>
        <family val="2"/>
        <charset val="204"/>
      </rPr>
      <t xml:space="preserve">Government </t>
    </r>
    <r>
      <rPr>
        <b/>
        <sz val="10"/>
        <color theme="1"/>
        <rFont val="Arial"/>
        <family val="2"/>
        <charset val="204"/>
      </rPr>
      <t>Total Assets                                   (Millions of dollars)</t>
    </r>
  </si>
  <si>
    <r>
      <rPr>
        <b/>
        <sz val="10"/>
        <color theme="1"/>
        <rFont val="Arial"/>
        <family val="2"/>
        <charset val="204"/>
      </rPr>
      <t xml:space="preserve">Government </t>
    </r>
    <r>
      <rPr>
        <b/>
        <sz val="10"/>
        <color theme="1"/>
        <rFont val="Arial"/>
        <family val="2"/>
        <charset val="204"/>
      </rPr>
      <t>Total Liabilities                          (Millions of dollars)</t>
    </r>
  </si>
  <si>
    <t>Citizens' Wealth</t>
  </si>
  <si>
    <r>
      <rPr>
        <b/>
        <sz val="10"/>
        <color theme="1"/>
        <rFont val="Arial"/>
        <family val="2"/>
        <charset val="204"/>
      </rPr>
      <t xml:space="preserve">Government </t>
    </r>
    <r>
      <rPr>
        <b/>
        <sz val="10"/>
        <color theme="1"/>
        <rFont val="Arial"/>
        <family val="2"/>
        <charset val="204"/>
      </rPr>
      <t>Total Liabilities                           Per Citizen</t>
    </r>
  </si>
  <si>
    <r>
      <rPr>
        <b/>
        <sz val="10"/>
        <color theme="1"/>
        <rFont val="Arial"/>
        <family val="2"/>
        <charset val="204"/>
      </rPr>
      <t xml:space="preserve">Citizens' Wealth </t>
    </r>
    <r>
      <rPr>
        <b/>
        <sz val="10"/>
        <color theme="1"/>
        <rFont val="Arial"/>
        <family val="2"/>
        <charset val="204"/>
      </rPr>
      <t>Per Citizen</t>
    </r>
  </si>
  <si>
    <r>
      <rPr>
        <b/>
        <sz val="10"/>
        <color theme="1"/>
        <rFont val="Arial"/>
        <family val="2"/>
        <charset val="204"/>
      </rPr>
      <t xml:space="preserve">Citizens' Wealth </t>
    </r>
    <r>
      <rPr>
        <b/>
        <sz val="10"/>
        <color theme="1"/>
        <rFont val="Arial"/>
        <family val="2"/>
        <charset val="204"/>
      </rPr>
      <t xml:space="preserve"> Per Citizen with Shared US Fed Burden</t>
    </r>
  </si>
  <si>
    <t>US 50 States and Federal Government Balance Sheet and Citizens' Wealth: 2017</t>
  </si>
  <si>
    <r>
      <t xml:space="preserve">Government </t>
    </r>
    <r>
      <rPr>
        <b/>
        <sz val="10"/>
        <color theme="1"/>
        <rFont val="Arial"/>
        <family val="2"/>
        <charset val="204"/>
      </rPr>
      <t>Net Worth/</t>
    </r>
    <r>
      <rPr>
        <b/>
        <sz val="10"/>
        <color theme="1"/>
        <rFont val="Arial"/>
        <family val="2"/>
        <charset val="204"/>
      </rPr>
      <t xml:space="preserve">Government </t>
    </r>
    <r>
      <rPr>
        <b/>
        <sz val="10"/>
        <color theme="1"/>
        <rFont val="Arial"/>
        <family val="2"/>
        <charset val="204"/>
      </rPr>
      <t xml:space="preserve"> </t>
    </r>
    <r>
      <rPr>
        <b/>
        <sz val="10"/>
        <color theme="1"/>
        <rFont val="Arial"/>
        <family val="2"/>
        <charset val="204"/>
      </rPr>
      <t xml:space="preserve">Net Liabilities </t>
    </r>
    <r>
      <rPr>
        <b/>
        <sz val="10"/>
        <color theme="1"/>
        <rFont val="Arial"/>
        <family val="2"/>
        <charset val="204"/>
      </rPr>
      <t>(Millions of dollars)</t>
    </r>
  </si>
  <si>
    <r>
      <t xml:space="preserve">Government </t>
    </r>
    <r>
      <rPr>
        <b/>
        <sz val="10"/>
        <color theme="1"/>
        <rFont val="Arial"/>
        <family val="2"/>
        <charset val="204"/>
      </rPr>
      <t>Net Worth</t>
    </r>
    <r>
      <rPr>
        <b/>
        <sz val="10"/>
        <color theme="1"/>
        <rFont val="Arial"/>
        <family val="2"/>
        <charset val="204"/>
      </rPr>
      <t>/Government Net Liabilities</t>
    </r>
    <r>
      <rPr>
        <b/>
        <sz val="10"/>
        <color theme="1"/>
        <rFont val="Arial"/>
        <family val="2"/>
        <charset val="204"/>
      </rPr>
      <t xml:space="preserve"> Per Citizen</t>
    </r>
  </si>
  <si>
    <t>Federal Govt to 50 States Ratio</t>
  </si>
  <si>
    <r>
      <t xml:space="preserve">Government </t>
    </r>
    <r>
      <rPr>
        <b/>
        <sz val="10"/>
        <color theme="1"/>
        <rFont val="Arial"/>
        <family val="2"/>
        <charset val="204"/>
      </rPr>
      <t>Net Worth</t>
    </r>
    <r>
      <rPr>
        <b/>
        <sz val="10"/>
        <color theme="1"/>
        <rFont val="Arial"/>
        <family val="2"/>
        <charset val="204"/>
      </rPr>
      <t xml:space="preserve">/Net Liabilities </t>
    </r>
    <r>
      <rPr>
        <b/>
        <sz val="10"/>
        <color theme="1"/>
        <rFont val="Arial"/>
        <family val="2"/>
        <charset val="204"/>
      </rPr>
      <t>Per Citizen with Shared US Fed Net Liabilities</t>
    </r>
  </si>
  <si>
    <t>GDP
2000                                          (Millions of dollars)</t>
  </si>
  <si>
    <t>Earliest Year State Financials</t>
  </si>
  <si>
    <t>GDP
Earliest Year                                        (Millions of dollars)***</t>
  </si>
  <si>
    <t>Comments</t>
  </si>
  <si>
    <t>Texas</t>
  </si>
  <si>
    <t>New York</t>
  </si>
  <si>
    <t>Illinois</t>
  </si>
  <si>
    <t>Pennsylvania</t>
  </si>
  <si>
    <t>University included in TOTAL Primary Government</t>
  </si>
  <si>
    <t>BEA Total US GDP 2000*****</t>
  </si>
  <si>
    <t xml:space="preserve">10,284,800
</t>
  </si>
  <si>
    <t>US Population (2000)</t>
  </si>
  <si>
    <t>US Fed Govt Net Liab Per Citizen in 2000</t>
  </si>
  <si>
    <r>
      <t xml:space="preserve">Notes:  </t>
    </r>
    <r>
      <rPr>
        <sz val="10"/>
        <color theme="1"/>
        <rFont val="Arial"/>
        <family val="2"/>
        <charset val="204"/>
      </rPr>
      <t xml:space="preserve">                                                                             </t>
    </r>
    <r>
      <rPr>
        <sz val="10"/>
        <color theme="1"/>
        <rFont val="Arial"/>
        <family val="2"/>
        <charset val="204"/>
      </rPr>
      <t xml:space="preserve">
</t>
    </r>
  </si>
  <si>
    <t xml:space="preserve">**** State total does not add up to US Total GDP (Line71: Official BEA total US GDP 2000) because Washington DC and overseas activity were excluded;        </t>
  </si>
  <si>
    <t xml:space="preserve"># For Fiscal Year Ended September 30, 2000  </t>
  </si>
  <si>
    <t>## Sources: U.S. Census Bureau, Bureau of Economic Analysis &lt;https://www.census.gov/&gt;.</t>
  </si>
  <si>
    <t>***** "Current-Dollar and "Real" Gross Domestic Product" &lt;https://www.bea.gov/national/xls/gdplev.xls&gt;</t>
  </si>
  <si>
    <t>YEAR</t>
  </si>
  <si>
    <t>US GDP in Bln.</t>
  </si>
  <si>
    <t>US GDP in mln.</t>
  </si>
  <si>
    <t>2001</t>
  </si>
  <si>
    <t>2002</t>
  </si>
  <si>
    <t>2003</t>
  </si>
  <si>
    <t>2004</t>
  </si>
  <si>
    <t>2005</t>
  </si>
  <si>
    <t>2006</t>
  </si>
  <si>
    <t>2007</t>
  </si>
  <si>
    <t>2008</t>
  </si>
  <si>
    <t>2009</t>
  </si>
  <si>
    <t>2010</t>
  </si>
  <si>
    <t>2011</t>
  </si>
  <si>
    <t>2012</t>
  </si>
  <si>
    <t>2013</t>
  </si>
  <si>
    <t>2014</t>
  </si>
  <si>
    <t>2015</t>
  </si>
  <si>
    <t>2016</t>
  </si>
  <si>
    <t>2017</t>
  </si>
  <si>
    <t>https://www.sco.ca.gov/Files-ARD/CAFR/2000_gen_purp_finan_stmts.pdf</t>
  </si>
  <si>
    <t>6,7,8</t>
  </si>
  <si>
    <t>https://archive.org/details/cafr-TX-Texas-2002/page/n33</t>
  </si>
  <si>
    <t>34,35</t>
  </si>
  <si>
    <t>https://www.osc.state.ny.us/finance/</t>
  </si>
  <si>
    <t>https://www.myfloridacfo.com/division/aa/reports/CAFR/CAFR2000.pdf</t>
  </si>
  <si>
    <t>http://www.cafr1.com/STATES/ILLINOIS/IL%202000%20CAFR.pdf</t>
  </si>
  <si>
    <t>33-34</t>
  </si>
  <si>
    <t>https://archive.org/details/cafr-PA-Pennsylvania-2002</t>
  </si>
  <si>
    <t>https://obm.ohio.gov/stateaccounting/financialreporting/doc/cafr/2000/cafr_2000.pdf</t>
  </si>
  <si>
    <t>https://www.nj.gov/treasury/omb/publications/00cafr/pdf/finstats.pdf</t>
  </si>
  <si>
    <t>https://archive.org/details/cafr-GA-Georgia-2002/page/n3</t>
  </si>
  <si>
    <t>http://www.macomptroller.info/comptroller/docs/reports-audits/cafr/cafr-2000.pdf</t>
  </si>
  <si>
    <t>https://files.nc.gov/ncosc/June_30_2000_CAFR.pdf</t>
  </si>
  <si>
    <t>36-37</t>
  </si>
  <si>
    <t>https://archive.org/details/cafr-WA-Washington-2002</t>
  </si>
  <si>
    <t>https://www.doa.virginia.gov/reports/CAFR/2002/G_Government_Wide.pdf</t>
  </si>
  <si>
    <t>https://www.michigan.gov/documents/budget/CAFR_2001_pages_1_thru_34_319387_7.pdf</t>
  </si>
  <si>
    <t>4,5</t>
  </si>
  <si>
    <t>https://finances.marylandtaxes.gov/static_files/revenue/cafr/cafr2000.pdf</t>
  </si>
  <si>
    <t>https://www.in.gov/auditor/files/Combined_Balance_Sheet_-_All_Fund_Types_Account_Groups_and_C.pdf</t>
  </si>
  <si>
    <t>6,7</t>
  </si>
  <si>
    <t>https://mn.gov/mmb/assets/2000_tcm1059-124902.pdf</t>
  </si>
  <si>
    <t>https://www.tn.gov/content/dam/tn/finance/accounts/page1.pdf</t>
  </si>
  <si>
    <t>1,2</t>
  </si>
  <si>
    <t>https://www.colorado.gov/pacific/sites/default/files/cafr00.pdf</t>
  </si>
  <si>
    <t>30,31</t>
  </si>
  <si>
    <t>https://gao.az.gov/sites/default/files/CAFR%20FY2000.pdf</t>
  </si>
  <si>
    <t>22-25</t>
  </si>
  <si>
    <t>https://doa.wi.gov/DEBFCapitalFinance/2000/2000cafr.pdf</t>
  </si>
  <si>
    <t>18-21</t>
  </si>
  <si>
    <t>https://oa.mo.gov/sites/default/files/CAFR-2002.pdf</t>
  </si>
  <si>
    <t>8,9</t>
  </si>
  <si>
    <t>https://www.osc.ct.gov/2000cafr/financial/general/combalsht.htm</t>
  </si>
  <si>
    <t>http://cafr1.com/STATES/LOUISIANA/LA%202000%20CAFR.pdf</t>
  </si>
  <si>
    <t>https://archive.org/details/cafr-OR-Oregon-2002</t>
  </si>
  <si>
    <t>24,25</t>
  </si>
  <si>
    <t>https://archive.org/details/cafr-SC-South-Carolina-2002</t>
  </si>
  <si>
    <t>http://comptroller.alabama.gov/wp-content/uploads/sites/15/2017/11/2000CAFR.pdf</t>
  </si>
  <si>
    <t>https://finance.ky.gov/Office%20of%20the%20Controller/ControllerDocuments/2002%20CAFR.pdf</t>
  </si>
  <si>
    <t>http://digitalprairie.ok.gov/cdm/fullbrowser/collection/stgovpub/id/3690/rv/compoundobject/cpd/3717</t>
  </si>
  <si>
    <t>28-31</t>
  </si>
  <si>
    <t>https://das.iowa.gov/sites/default/files/acct_sae/cafr/fy00_cafr.pdf</t>
  </si>
  <si>
    <t>6-7</t>
  </si>
  <si>
    <t>https://archive.org/details/cafr-UT-Utah-2002</t>
  </si>
  <si>
    <t>https://admin.ks.gov/docs/default-source/cfo/cafr/fiscal-year-2000---annual-financial-report.pdf?sfvrsn=3218d5c7_2</t>
  </si>
  <si>
    <t>http://www.controller.nv.gov/FinancialReports/CAFR_pdf_files/FY00All.pdf</t>
  </si>
  <si>
    <t>https://archive.org/details/cafr-AR-2000/page/n27</t>
  </si>
  <si>
    <t>19-20</t>
  </si>
  <si>
    <t>https://archive.org/details/cafr-NE-Nebraska-2002</t>
  </si>
  <si>
    <t>http://www.osa.ms.gov/documents/agencies/2000cafr.pdf</t>
  </si>
  <si>
    <t>http://nmdfa.state.nm.us/uploads/files/CAFR%20Year%20Ending%20June%2030%2C%202000.PDF</t>
  </si>
  <si>
    <t>3-4</t>
  </si>
  <si>
    <t>https://archive.org/details/cafr-HI-Hawaii-2000</t>
  </si>
  <si>
    <t>30-33</t>
  </si>
  <si>
    <t>https://das.nh.gov/accounting/OOCAFR%20for%20web.pdf</t>
  </si>
  <si>
    <t>https://finance.wv.gov/FARS/CAFR/Documents/CAFR2002.pdf</t>
  </si>
  <si>
    <t>https://accounting.delaware.gov/2002cafr/gpfs/gpfs19b.pdf</t>
  </si>
  <si>
    <t>https://www.sco.idaho.gov/web/DSADoc.nsf/7153B41E3DAD9127872569EE006B6563/$FILE/2000-CAFR.pdf</t>
  </si>
  <si>
    <t>https://www.maine.gov/osc/sites/maine.gov.osc/files/inline-files/cafr2000.pdf</t>
  </si>
  <si>
    <t>http://controller.admin.ri.gov/documents/Financial%20Reports//102_Comprehensive%20Annual%20Financial%20Report_06-30-2000.pdf</t>
  </si>
  <si>
    <t>14-15</t>
  </si>
  <si>
    <t>https://archive.org/details/cafr-ND-North-Dakota-2002/</t>
  </si>
  <si>
    <t>12-14</t>
  </si>
  <si>
    <t>http://doa.alaska.gov/dof/reports/resource/00cafr.pdf</t>
  </si>
  <si>
    <t>https://bfm.sd.gov/cafr/SD_CAFR_2000.PDF</t>
  </si>
  <si>
    <t>http://sfsd.mt.gov/Portals/24/SAB/cafr/Documents/Mt00cafr.pdf</t>
  </si>
  <si>
    <t>16-19</t>
  </si>
  <si>
    <t>https://drive.google.com/file/d/0B-jVEVbglokDQ2lOUmFzWG5Iem8/view</t>
  </si>
  <si>
    <t>https://auditor.vermont.gov/sites/auditor/files/files/reports/cafr/2000-CAFR.pdf</t>
  </si>
  <si>
    <t>10-12</t>
  </si>
  <si>
    <t xml:space="preserve">*** The 2002 state GDP figures are generated from &lt;https://apps.bea.gov/itable/iTable.cfm?ReqID=70&amp;step=1&gt;          </t>
  </si>
  <si>
    <t xml:space="preserve">*For Fiscal Year Ended 30 June 2000.  
                        </t>
  </si>
  <si>
    <t>Shared US Fed burden is calculated for 2000 for all countries.</t>
  </si>
  <si>
    <t>** "Financial Report of the United States Government 2000"  &lt;https://fiscal.treasury.gov/files/reports-statements/financial-report/00frusg.pdf&gt; 43.</t>
  </si>
  <si>
    <r>
      <t xml:space="preserve">Government </t>
    </r>
    <r>
      <rPr>
        <b/>
        <sz val="10"/>
        <color theme="1"/>
        <rFont val="Arial"/>
        <family val="2"/>
        <charset val="204"/>
      </rPr>
      <t xml:space="preserve">Net Worth/ </t>
    </r>
    <r>
      <rPr>
        <b/>
        <sz val="10"/>
        <color theme="1"/>
        <rFont val="Arial"/>
        <family val="2"/>
        <charset val="204"/>
      </rPr>
      <t xml:space="preserve">Government </t>
    </r>
    <r>
      <rPr>
        <b/>
        <sz val="10"/>
        <color theme="1"/>
        <rFont val="Arial"/>
        <family val="2"/>
        <charset val="204"/>
      </rPr>
      <t xml:space="preserve"> </t>
    </r>
    <r>
      <rPr>
        <b/>
        <sz val="10"/>
        <color theme="1"/>
        <rFont val="Arial"/>
        <family val="2"/>
        <charset val="204"/>
      </rPr>
      <t xml:space="preserve">Net Liabilities </t>
    </r>
    <r>
      <rPr>
        <b/>
        <sz val="10"/>
        <color theme="1"/>
        <rFont val="Arial"/>
        <family val="2"/>
        <charset val="204"/>
      </rPr>
      <t>(Millions of dollars)</t>
    </r>
  </si>
  <si>
    <r>
      <t xml:space="preserve">Government </t>
    </r>
    <r>
      <rPr>
        <b/>
        <sz val="10"/>
        <color theme="1"/>
        <rFont val="Arial"/>
        <family val="2"/>
        <charset val="204"/>
      </rPr>
      <t>Net Worth</t>
    </r>
    <r>
      <rPr>
        <b/>
        <sz val="10"/>
        <color theme="1"/>
        <rFont val="Arial"/>
        <family val="2"/>
        <charset val="204"/>
      </rPr>
      <t>/ Government Net Liabilities</t>
    </r>
    <r>
      <rPr>
        <b/>
        <sz val="10"/>
        <color theme="1"/>
        <rFont val="Arial"/>
        <family val="2"/>
        <charset val="204"/>
      </rPr>
      <t xml:space="preserve"> Per Citizen</t>
    </r>
  </si>
  <si>
    <r>
      <rPr>
        <b/>
        <sz val="10"/>
        <color theme="1"/>
        <rFont val="Arial"/>
        <family val="2"/>
        <charset val="204"/>
      </rPr>
      <t xml:space="preserve">EXECUTIVE SUMMARY:  </t>
    </r>
    <r>
      <rPr>
        <sz val="10"/>
        <color theme="1"/>
        <rFont val="Arial"/>
        <family val="2"/>
        <charset val="204"/>
      </rPr>
      <t xml:space="preserve">The table below presents the US States' GDPs in current US dollars for 2000, as well as financial information on Assets, Liabilities and Net position/worth derived from the Comprehensive Annual Financial Reports of the US States for the fiscal year of 2000. The statement of COMBINED BALANCE SHEET (ALL FUND TYPES AND ACCOUNT GROUPS) presents financial and capital resources in a format in which TOTAL ASSETS AND OTHER DEBITS (governmental, proprietary, fiduciary)  equal TOTAL LIABILITIES plus TOTAL FUND EQUITY AND OTHER CREDITS. In FY2000, the funds reported for the State's Primary Government are clasiffied into 4 categories: governmental, proprietary, fiduciary and college and university. Below are presented the TOTAL PRIMARY GOVERNMENT assets and liabilities (governmental, proprietary, fiduciary) excluding COMPONENT UNITS (universities, special purpose authorities). However for certain states (Massachusetts, Colorado, Arizona, Wisconsin, Connecticut) Higher Education Funds/Universities are included in the TOTAL PRIMARY GOVERNMENT and not in the COMPONENT UNITS.Gross domestic product (GDP) is the value of the goods and services produced by the nation’s economy less the value of the goods and services used up in production. GDP is also equal to the sum of personal consumption expenditures, gross private domestic investment, net exports of goods and services, and government consumption expenditures and gross investment. </t>
    </r>
  </si>
  <si>
    <r>
      <t xml:space="preserve">Government </t>
    </r>
    <r>
      <rPr>
        <b/>
        <sz val="10"/>
        <color theme="1"/>
        <rFont val="Arial"/>
        <family val="2"/>
        <charset val="204"/>
      </rPr>
      <t xml:space="preserve">Net Worth/ </t>
    </r>
    <r>
      <rPr>
        <b/>
        <sz val="10"/>
        <color theme="1"/>
        <rFont val="Arial"/>
        <family val="2"/>
        <charset val="204"/>
      </rPr>
      <t xml:space="preserve">Government </t>
    </r>
    <r>
      <rPr>
        <b/>
        <sz val="10"/>
        <color theme="1"/>
        <rFont val="Arial"/>
        <family val="2"/>
        <charset val="204"/>
      </rPr>
      <t xml:space="preserve">Net Liabilities </t>
    </r>
    <r>
      <rPr>
        <b/>
        <sz val="10"/>
        <color theme="1"/>
        <rFont val="Arial"/>
        <family val="2"/>
        <charset val="204"/>
      </rPr>
      <t>(Millions of dollars)</t>
    </r>
  </si>
  <si>
    <t>US Federal Government Net Liabilities **</t>
  </si>
  <si>
    <r>
      <t>US Federal Government Net Liabilities</t>
    </r>
    <r>
      <rPr>
        <b/>
        <vertAlign val="superscript"/>
        <sz val="10"/>
        <color theme="1"/>
        <rFont val="Arial"/>
        <family val="2"/>
      </rPr>
      <t>####</t>
    </r>
  </si>
  <si>
    <t>####US Federal Government data from the 2017 Financial Report of the United States Government</t>
  </si>
  <si>
    <t>US 50 States and Federal Government Balance Sheet and Citizens' Wealth:  2000</t>
  </si>
  <si>
    <t>GDP                                        (Millions of dollars)</t>
  </si>
  <si>
    <t>US Population</t>
  </si>
  <si>
    <t>BEA Total US GDP</t>
  </si>
  <si>
    <t>TOTAL</t>
  </si>
  <si>
    <t>US Fed Govt Net Liabilities</t>
  </si>
  <si>
    <t>50 States</t>
  </si>
  <si>
    <t>US 50 States and Federal Government Balance Sheet and Citizens' Wealth: Change from 2000 to 2017</t>
  </si>
  <si>
    <r>
      <t xml:space="preserve">Government </t>
    </r>
    <r>
      <rPr>
        <b/>
        <sz val="10"/>
        <color theme="1"/>
        <rFont val="Arial"/>
        <family val="2"/>
        <charset val="204"/>
      </rPr>
      <t>Net Worth</t>
    </r>
    <r>
      <rPr>
        <b/>
        <sz val="10"/>
        <color theme="1"/>
        <rFont val="Arial"/>
        <family val="2"/>
        <charset val="204"/>
      </rPr>
      <t xml:space="preserve">/ Net Liabilities </t>
    </r>
    <r>
      <rPr>
        <b/>
        <sz val="10"/>
        <color theme="1"/>
        <rFont val="Arial"/>
        <family val="2"/>
        <charset val="204"/>
      </rPr>
      <t>Per Citizen with Shared US Fed Net Liabilities</t>
    </r>
  </si>
  <si>
    <t>Draft 15.01.2019.2130ET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</si>
</sst>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charset val="204"/>
    </font>
    <font>
      <sz val="10"/>
      <color theme="1"/>
      <name val="Arial"/>
      <family val="2"/>
      <charset val="204"/>
    </font>
    <font>
      <b/>
      <sz val="12"/>
      <color theme="1"/>
      <name val="Arial"/>
      <family val="2"/>
    </font>
    <font>
      <sz val="10"/>
      <color theme="1"/>
      <name val="Arial"/>
      <family val="2"/>
    </font>
    <font>
      <b/>
      <sz val="10"/>
      <color theme="1"/>
      <name val="Arial"/>
      <family val="2"/>
    </font>
    <font>
      <vertAlign val="superscript"/>
      <sz val="10"/>
      <color theme="1"/>
      <name val="Arial"/>
      <family val="2"/>
    </font>
    <font>
      <b/>
      <sz val="14"/>
      <color theme="1"/>
      <name val="Arial"/>
      <family val="2"/>
    </font>
    <font>
      <sz val="14"/>
      <color theme="1"/>
      <name val="Arial"/>
      <family val="2"/>
    </font>
    <font>
      <u/>
      <sz val="11"/>
      <color theme="11"/>
      <name val="Calibri"/>
      <family val="2"/>
      <scheme val="minor"/>
    </font>
    <font>
      <b/>
      <vertAlign val="superscrip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4" tint="0.59999389629810485"/>
        <bgColor indexed="64"/>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medium">
        <color rgb="FF000000"/>
      </bottom>
      <diagonal/>
    </border>
    <border>
      <left/>
      <right/>
      <top style="thin">
        <color auto="1"/>
      </top>
      <bottom/>
      <diagonal/>
    </border>
  </borders>
  <cellStyleXfs count="1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24">
    <xf numFmtId="0" fontId="0" fillId="0" borderId="0" xfId="0"/>
    <xf numFmtId="0" fontId="2" fillId="0" borderId="0" xfId="2"/>
    <xf numFmtId="0" fontId="4" fillId="2" borderId="1" xfId="0" applyFont="1" applyFill="1" applyBorder="1"/>
    <xf numFmtId="0" fontId="4" fillId="3" borderId="1" xfId="0" applyFont="1" applyFill="1" applyBorder="1" applyAlignment="1">
      <alignment horizontal="left" indent="2"/>
    </xf>
    <xf numFmtId="0" fontId="4" fillId="2" borderId="1" xfId="0" applyFont="1" applyFill="1" applyBorder="1" applyAlignment="1">
      <alignment horizontal="left" indent="2"/>
    </xf>
    <xf numFmtId="0" fontId="3" fillId="4" borderId="3" xfId="0" applyFont="1" applyFill="1" applyBorder="1"/>
    <xf numFmtId="0" fontId="2" fillId="0" borderId="0" xfId="2" applyAlignment="1">
      <alignment wrapText="1"/>
    </xf>
    <xf numFmtId="0" fontId="0" fillId="0" borderId="0" xfId="0" applyAlignment="1">
      <alignment horizontal="left"/>
    </xf>
    <xf numFmtId="0" fontId="6" fillId="0" borderId="0" xfId="0" applyFont="1"/>
    <xf numFmtId="0" fontId="7" fillId="4" borderId="3" xfId="0" applyFont="1" applyFill="1" applyBorder="1" applyAlignment="1">
      <alignment horizontal="center" wrapText="1"/>
    </xf>
    <xf numFmtId="0" fontId="6" fillId="0" borderId="0" xfId="0" applyFont="1" applyAlignment="1">
      <alignment vertical="center"/>
    </xf>
    <xf numFmtId="0" fontId="7" fillId="4" borderId="3" xfId="0" applyFont="1" applyFill="1" applyBorder="1" applyAlignment="1">
      <alignment horizontal="center"/>
    </xf>
    <xf numFmtId="0" fontId="6" fillId="0" borderId="0" xfId="0" applyFont="1" applyAlignment="1">
      <alignment horizontal="left" vertical="top"/>
    </xf>
    <xf numFmtId="0" fontId="5" fillId="0" borderId="0" xfId="0" applyFont="1" applyBorder="1" applyAlignment="1">
      <alignment horizontal="center" vertical="top" wrapText="1"/>
    </xf>
    <xf numFmtId="0" fontId="6" fillId="0" borderId="1" xfId="0" applyFont="1" applyFill="1" applyBorder="1"/>
    <xf numFmtId="0" fontId="6" fillId="0" borderId="1" xfId="0" applyFont="1" applyFill="1" applyBorder="1" applyAlignment="1">
      <alignment horizontal="left"/>
    </xf>
    <xf numFmtId="3" fontId="6" fillId="0" borderId="1" xfId="0" applyNumberFormat="1" applyFont="1" applyFill="1" applyBorder="1" applyAlignment="1">
      <alignment horizontal="right"/>
    </xf>
    <xf numFmtId="164" fontId="6" fillId="0" borderId="1" xfId="1" applyNumberFormat="1" applyFont="1" applyFill="1" applyBorder="1" applyAlignment="1">
      <alignment horizontal="right"/>
    </xf>
    <xf numFmtId="0" fontId="6" fillId="0" borderId="0" xfId="0" applyFont="1" applyFill="1"/>
    <xf numFmtId="0" fontId="6" fillId="0" borderId="2" xfId="0" applyFont="1" applyFill="1" applyBorder="1"/>
    <xf numFmtId="0" fontId="6" fillId="0" borderId="2" xfId="0" applyFont="1" applyFill="1" applyBorder="1" applyAlignment="1">
      <alignment horizontal="left"/>
    </xf>
    <xf numFmtId="3" fontId="6" fillId="0" borderId="2" xfId="0" applyNumberFormat="1" applyFont="1" applyFill="1" applyBorder="1" applyAlignment="1">
      <alignment horizontal="right"/>
    </xf>
    <xf numFmtId="164" fontId="6" fillId="0" borderId="2" xfId="1" applyNumberFormat="1" applyFont="1" applyFill="1" applyBorder="1" applyAlignment="1">
      <alignment horizontal="right"/>
    </xf>
    <xf numFmtId="0" fontId="7" fillId="0" borderId="4" xfId="0" applyFont="1" applyFill="1" applyBorder="1"/>
    <xf numFmtId="0" fontId="6" fillId="0" borderId="5" xfId="0" applyFont="1" applyFill="1" applyBorder="1"/>
    <xf numFmtId="3" fontId="6" fillId="0" borderId="5" xfId="0" applyNumberFormat="1" applyFont="1" applyFill="1" applyBorder="1"/>
    <xf numFmtId="3" fontId="6" fillId="0" borderId="3" xfId="0" applyNumberFormat="1" applyFont="1" applyFill="1" applyBorder="1"/>
    <xf numFmtId="3" fontId="6" fillId="0" borderId="1" xfId="0" applyNumberFormat="1" applyFont="1" applyFill="1" applyBorder="1"/>
    <xf numFmtId="0" fontId="6" fillId="0" borderId="0" xfId="0" applyFont="1" applyAlignment="1">
      <alignment vertical="top" wrapText="1"/>
    </xf>
    <xf numFmtId="0" fontId="6" fillId="0" borderId="0" xfId="0" applyFont="1" applyAlignment="1">
      <alignment vertical="top"/>
    </xf>
    <xf numFmtId="0" fontId="5" fillId="0" borderId="0" xfId="0" applyFont="1" applyBorder="1" applyAlignment="1">
      <alignment vertical="top" wrapText="1"/>
    </xf>
    <xf numFmtId="0" fontId="7" fillId="0" borderId="0" xfId="0" applyFont="1" applyBorder="1" applyAlignment="1">
      <alignment horizontal="center" vertical="center" wrapText="1"/>
    </xf>
    <xf numFmtId="0" fontId="6" fillId="0" borderId="0" xfId="0" applyFont="1" applyBorder="1" applyAlignment="1">
      <alignment horizontal="left" vertical="top" wrapText="1"/>
    </xf>
    <xf numFmtId="0" fontId="6" fillId="0" borderId="9" xfId="0" applyFont="1" applyBorder="1" applyAlignment="1">
      <alignment horizontal="center" vertical="top" wrapText="1"/>
    </xf>
    <xf numFmtId="3" fontId="6" fillId="0" borderId="1" xfId="0" applyNumberFormat="1" applyFont="1" applyFill="1" applyBorder="1" applyAlignment="1">
      <alignment horizontal="right" vertical="top"/>
    </xf>
    <xf numFmtId="0" fontId="7" fillId="0" borderId="0" xfId="0" applyFont="1"/>
    <xf numFmtId="0" fontId="6" fillId="0" borderId="0" xfId="0" applyFont="1" applyBorder="1"/>
    <xf numFmtId="0" fontId="6" fillId="0" borderId="0" xfId="0" applyFont="1" applyBorder="1" applyAlignment="1">
      <alignment horizontal="right"/>
    </xf>
    <xf numFmtId="0" fontId="10" fillId="0" borderId="0" xfId="0" applyFont="1"/>
    <xf numFmtId="0" fontId="10" fillId="0" borderId="0" xfId="0" applyFont="1" applyAlignment="1">
      <alignment vertical="center"/>
    </xf>
    <xf numFmtId="9" fontId="6" fillId="0" borderId="5" xfId="1" applyFont="1" applyFill="1" applyBorder="1"/>
    <xf numFmtId="0" fontId="4" fillId="0" borderId="0" xfId="0" applyFont="1" applyBorder="1" applyAlignment="1">
      <alignment horizontal="right" vertical="center"/>
    </xf>
    <xf numFmtId="3" fontId="6" fillId="0" borderId="0" xfId="0" applyNumberFormat="1" applyFont="1"/>
    <xf numFmtId="0" fontId="4" fillId="0" borderId="0" xfId="0" applyFont="1"/>
    <xf numFmtId="164" fontId="6" fillId="0" borderId="3" xfId="1" applyNumberFormat="1" applyFont="1" applyFill="1" applyBorder="1" applyAlignment="1">
      <alignment horizontal="right"/>
    </xf>
    <xf numFmtId="0" fontId="3" fillId="0" borderId="11" xfId="0" applyFont="1" applyFill="1" applyBorder="1" applyAlignment="1">
      <alignment horizontal="left"/>
    </xf>
    <xf numFmtId="0" fontId="6" fillId="0" borderId="11" xfId="0" applyFont="1" applyFill="1" applyBorder="1"/>
    <xf numFmtId="3" fontId="6" fillId="0" borderId="11" xfId="0" applyNumberFormat="1" applyFont="1" applyFill="1" applyBorder="1"/>
    <xf numFmtId="9" fontId="6" fillId="0" borderId="11" xfId="1" applyFont="1" applyFill="1" applyBorder="1"/>
    <xf numFmtId="0" fontId="6" fillId="0" borderId="11" xfId="0" applyFont="1" applyBorder="1" applyAlignment="1">
      <alignment horizontal="left" vertical="top" wrapText="1"/>
    </xf>
    <xf numFmtId="0" fontId="7" fillId="4" borderId="10" xfId="0" applyFont="1" applyFill="1" applyBorder="1" applyAlignment="1">
      <alignment horizontal="center" wrapText="1"/>
    </xf>
    <xf numFmtId="0" fontId="3" fillId="4" borderId="10" xfId="0" applyFont="1" applyFill="1" applyBorder="1" applyAlignment="1">
      <alignment horizontal="center" wrapText="1"/>
    </xf>
    <xf numFmtId="9" fontId="6" fillId="0" borderId="1" xfId="1" applyFont="1" applyFill="1" applyBorder="1"/>
    <xf numFmtId="3" fontId="6" fillId="0" borderId="0" xfId="0" applyNumberFormat="1" applyFont="1" applyFill="1" applyBorder="1" applyAlignment="1">
      <alignment vertical="top"/>
    </xf>
    <xf numFmtId="9" fontId="6" fillId="0" borderId="0" xfId="1" applyFont="1" applyFill="1" applyBorder="1" applyAlignment="1">
      <alignment vertical="top"/>
    </xf>
    <xf numFmtId="9" fontId="4" fillId="0" borderId="0" xfId="1" applyFont="1" applyFill="1" applyBorder="1" applyAlignment="1">
      <alignment vertical="top"/>
    </xf>
    <xf numFmtId="3" fontId="4" fillId="0" borderId="0" xfId="0" applyNumberFormat="1" applyFont="1" applyFill="1" applyBorder="1" applyAlignment="1">
      <alignment vertical="top"/>
    </xf>
    <xf numFmtId="0" fontId="6" fillId="0" borderId="0" xfId="0" applyFont="1" applyFill="1" applyAlignment="1">
      <alignment vertical="top"/>
    </xf>
    <xf numFmtId="165" fontId="6" fillId="0" borderId="1" xfId="1" applyNumberFormat="1" applyFont="1" applyFill="1" applyBorder="1" applyAlignment="1">
      <alignment vertical="top"/>
    </xf>
    <xf numFmtId="3" fontId="4" fillId="0" borderId="1" xfId="0" applyNumberFormat="1" applyFont="1" applyFill="1" applyBorder="1" applyAlignment="1">
      <alignment horizontal="center"/>
    </xf>
    <xf numFmtId="0" fontId="6" fillId="0" borderId="0" xfId="0" applyFont="1" applyBorder="1" applyAlignment="1">
      <alignment horizontal="right" vertical="center"/>
    </xf>
    <xf numFmtId="0" fontId="3" fillId="0" borderId="0" xfId="0" applyFont="1"/>
    <xf numFmtId="0" fontId="6" fillId="0" borderId="0" xfId="0" applyFont="1" applyFill="1" applyAlignment="1">
      <alignment horizontal="left"/>
    </xf>
    <xf numFmtId="15" fontId="6" fillId="5" borderId="0" xfId="0" applyNumberFormat="1" applyFont="1" applyFill="1" applyAlignment="1">
      <alignment horizontal="left"/>
    </xf>
    <xf numFmtId="0" fontId="6" fillId="0" borderId="0" xfId="0" applyFont="1" applyAlignment="1">
      <alignment horizontal="left"/>
    </xf>
    <xf numFmtId="15" fontId="6" fillId="0" borderId="0" xfId="0" applyNumberFormat="1" applyFont="1" applyFill="1"/>
    <xf numFmtId="3" fontId="6" fillId="0" borderId="14" xfId="0" applyNumberFormat="1" applyFont="1" applyFill="1" applyBorder="1" applyAlignment="1">
      <alignment horizontal="right"/>
    </xf>
    <xf numFmtId="3" fontId="6" fillId="0" borderId="1" xfId="0" applyNumberFormat="1" applyFont="1" applyFill="1" applyBorder="1" applyAlignment="1">
      <alignment horizontal="right" vertical="top" wrapText="1"/>
    </xf>
    <xf numFmtId="3" fontId="6" fillId="0" borderId="0" xfId="0" applyNumberFormat="1" applyFont="1" applyFill="1" applyBorder="1" applyAlignment="1">
      <alignment horizontal="right"/>
    </xf>
    <xf numFmtId="0" fontId="6" fillId="0" borderId="0" xfId="0" applyFont="1" applyFill="1" applyAlignment="1"/>
    <xf numFmtId="0" fontId="3" fillId="0" borderId="1" xfId="0" applyFont="1" applyBorder="1" applyAlignment="1">
      <alignment horizontal="center" wrapText="1"/>
    </xf>
    <xf numFmtId="0" fontId="3" fillId="0" borderId="0" xfId="0" applyFont="1" applyAlignment="1">
      <alignment wrapText="1"/>
    </xf>
    <xf numFmtId="0" fontId="6" fillId="0" borderId="1" xfId="0" applyFont="1" applyBorder="1" applyAlignment="1">
      <alignment horizontal="left"/>
    </xf>
    <xf numFmtId="0" fontId="6" fillId="0" borderId="1" xfId="0" applyFont="1" applyBorder="1"/>
    <xf numFmtId="0" fontId="2" fillId="5" borderId="0" xfId="2" applyFill="1" applyAlignment="1">
      <alignment wrapText="1"/>
    </xf>
    <xf numFmtId="16" fontId="0" fillId="0" borderId="0" xfId="0" quotePrefix="1" applyNumberFormat="1" applyAlignment="1">
      <alignment horizontal="left"/>
    </xf>
    <xf numFmtId="16" fontId="0" fillId="0" borderId="0" xfId="0" quotePrefix="1" applyNumberFormat="1"/>
    <xf numFmtId="0" fontId="6" fillId="0" borderId="0" xfId="0" applyFont="1" applyFill="1" applyAlignment="1">
      <alignment horizontal="left" wrapText="1"/>
    </xf>
    <xf numFmtId="0" fontId="6" fillId="0" borderId="0" xfId="0" applyFont="1" applyFill="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0" xfId="0" applyFont="1" applyBorder="1" applyAlignment="1">
      <alignment vertical="center"/>
    </xf>
    <xf numFmtId="0" fontId="6" fillId="0" borderId="11"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Alignment="1">
      <alignment horizontal="left"/>
    </xf>
    <xf numFmtId="0" fontId="6" fillId="0" borderId="0" xfId="0" applyFont="1" applyFill="1" applyAlignment="1">
      <alignment horizontal="left" wrapText="1"/>
    </xf>
    <xf numFmtId="0" fontId="5" fillId="0" borderId="0" xfId="0" applyFont="1" applyBorder="1" applyAlignment="1">
      <alignment horizontal="center" vertical="top" wrapText="1"/>
    </xf>
    <xf numFmtId="0" fontId="3" fillId="0" borderId="0" xfId="0" applyFont="1" applyFill="1" applyBorder="1" applyAlignment="1">
      <alignment horizontal="left"/>
    </xf>
    <xf numFmtId="0" fontId="6" fillId="0" borderId="0" xfId="0" applyFont="1" applyFill="1" applyBorder="1"/>
    <xf numFmtId="3" fontId="6" fillId="0" borderId="1" xfId="0" applyNumberFormat="1" applyFont="1" applyFill="1" applyBorder="1" applyAlignment="1">
      <alignment vertical="center"/>
    </xf>
    <xf numFmtId="0" fontId="3" fillId="0" borderId="12"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164" fontId="6" fillId="0" borderId="1" xfId="1" applyNumberFormat="1" applyFont="1" applyFill="1" applyBorder="1"/>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1" fontId="6" fillId="0" borderId="1" xfId="1" applyNumberFormat="1" applyFont="1" applyFill="1" applyBorder="1" applyAlignment="1">
      <alignment horizontal="right"/>
    </xf>
    <xf numFmtId="1" fontId="6" fillId="0" borderId="2" xfId="1" applyNumberFormat="1" applyFont="1" applyFill="1" applyBorder="1" applyAlignment="1">
      <alignment horizontal="right"/>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3" xfId="0" applyFont="1" applyFill="1" applyBorder="1" applyAlignment="1">
      <alignment horizontal="left"/>
    </xf>
    <xf numFmtId="0" fontId="7" fillId="0" borderId="1" xfId="0" applyFont="1" applyFill="1" applyBorder="1" applyAlignment="1">
      <alignment horizontal="left"/>
    </xf>
    <xf numFmtId="0" fontId="9" fillId="0" borderId="0" xfId="0" applyFont="1" applyBorder="1" applyAlignment="1">
      <alignment horizontal="center" vertical="top"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Border="1" applyAlignment="1">
      <alignment horizontal="left" vertical="top" wrapText="1"/>
    </xf>
    <xf numFmtId="0" fontId="3" fillId="0" borderId="1" xfId="0" applyFont="1" applyFill="1" applyBorder="1" applyAlignment="1">
      <alignment horizontal="left"/>
    </xf>
    <xf numFmtId="0" fontId="7" fillId="4" borderId="12" xfId="0" applyFont="1" applyFill="1" applyBorder="1" applyAlignment="1">
      <alignment horizontal="center"/>
    </xf>
    <xf numFmtId="0" fontId="7" fillId="4" borderId="13" xfId="0"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left" vertical="top"/>
    </xf>
    <xf numFmtId="0" fontId="7" fillId="0" borderId="1" xfId="0" applyFont="1" applyFill="1" applyBorder="1" applyAlignment="1">
      <alignment horizontal="center"/>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6" fillId="0" borderId="0" xfId="0" applyFont="1" applyFill="1" applyAlignment="1">
      <alignment horizontal="left" wrapText="1"/>
    </xf>
    <xf numFmtId="0" fontId="6" fillId="0" borderId="0" xfId="0" applyFont="1" applyFill="1" applyBorder="1" applyAlignment="1">
      <alignment horizontal="left" vertical="top" wrapText="1"/>
    </xf>
    <xf numFmtId="0" fontId="7" fillId="0" borderId="3" xfId="0" applyFont="1" applyFill="1" applyBorder="1" applyAlignment="1">
      <alignment horizontal="center"/>
    </xf>
    <xf numFmtId="0" fontId="5" fillId="0" borderId="0" xfId="0" applyFont="1" applyBorder="1" applyAlignment="1">
      <alignment horizontal="center" vertical="top" wrapText="1"/>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cellXfs>
  <cellStyles count="1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1052541</xdr:colOff>
      <xdr:row>2</xdr:row>
      <xdr:rowOff>95250</xdr:rowOff>
    </xdr:from>
    <xdr:to>
      <xdr:col>8</xdr:col>
      <xdr:colOff>123854</xdr:colOff>
      <xdr:row>2</xdr:row>
      <xdr:rowOff>571500</xdr:rowOff>
    </xdr:to>
    <xdr:pic>
      <xdr:nvPicPr>
        <xdr:cNvPr id="4" name="Picture 0" descr="JI Rings.pn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4541" y="481013"/>
          <a:ext cx="1033463"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1052541</xdr:colOff>
      <xdr:row>2</xdr:row>
      <xdr:rowOff>95250</xdr:rowOff>
    </xdr:from>
    <xdr:to>
      <xdr:col>8</xdr:col>
      <xdr:colOff>123854</xdr:colOff>
      <xdr:row>2</xdr:row>
      <xdr:rowOff>571500</xdr:rowOff>
    </xdr:to>
    <xdr:pic>
      <xdr:nvPicPr>
        <xdr:cNvPr id="2" name="Picture 0" descr="JI Rings.png">
          <a:extLst>
            <a:ext uri="{FF2B5EF4-FFF2-40B4-BE49-F238E27FC236}">
              <a16:creationId xmlns:a16="http://schemas.microsoft.com/office/drawing/2014/main" xmlns="" id="{18F6FBBE-7E3E-4DFD-BB99-DF7C474C34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3588" y="480060"/>
          <a:ext cx="1028701"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190500</xdr:colOff>
      <xdr:row>2</xdr:row>
      <xdr:rowOff>109537</xdr:rowOff>
    </xdr:from>
    <xdr:to>
      <xdr:col>9</xdr:col>
      <xdr:colOff>395288</xdr:colOff>
      <xdr:row>2</xdr:row>
      <xdr:rowOff>585787</xdr:rowOff>
    </xdr:to>
    <xdr:pic>
      <xdr:nvPicPr>
        <xdr:cNvPr id="4" name="Picture 0" descr="JI Rings.png">
          <a:extLst>
            <a:ext uri="{FF2B5EF4-FFF2-40B4-BE49-F238E27FC236}">
              <a16:creationId xmlns:a16="http://schemas.microsoft.com/office/drawing/2014/main" xmlns="" id="{3A11440E-E33E-444A-9003-9371BE21E3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5988" y="495300"/>
          <a:ext cx="1033463"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190500</xdr:colOff>
      <xdr:row>2</xdr:row>
      <xdr:rowOff>109537</xdr:rowOff>
    </xdr:from>
    <xdr:to>
      <xdr:col>9</xdr:col>
      <xdr:colOff>395288</xdr:colOff>
      <xdr:row>2</xdr:row>
      <xdr:rowOff>585787</xdr:rowOff>
    </xdr:to>
    <xdr:pic>
      <xdr:nvPicPr>
        <xdr:cNvPr id="2" name="Picture 0" descr="JI Rings.png">
          <a:extLst>
            <a:ext uri="{FF2B5EF4-FFF2-40B4-BE49-F238E27FC236}">
              <a16:creationId xmlns:a16="http://schemas.microsoft.com/office/drawing/2014/main" xmlns="" id="{4A3A5B94-7783-4B8F-B773-77AE41B98C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560" y="487679"/>
          <a:ext cx="103632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1052541</xdr:colOff>
      <xdr:row>2</xdr:row>
      <xdr:rowOff>95250</xdr:rowOff>
    </xdr:from>
    <xdr:to>
      <xdr:col>7</xdr:col>
      <xdr:colOff>123854</xdr:colOff>
      <xdr:row>2</xdr:row>
      <xdr:rowOff>571500</xdr:rowOff>
    </xdr:to>
    <xdr:pic>
      <xdr:nvPicPr>
        <xdr:cNvPr id="2" name="Picture 0" descr="JI Rings.png">
          <a:extLst>
            <a:ext uri="{FF2B5EF4-FFF2-40B4-BE49-F238E27FC236}">
              <a16:creationId xmlns:a16="http://schemas.microsoft.com/office/drawing/2014/main" xmlns="" id="{27EF9E2B-9EFC-49CE-8B4D-FAD8F32581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3588" y="480060"/>
          <a:ext cx="1028701"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0" Type="http://schemas.openxmlformats.org/officeDocument/2006/relationships/hyperlink" Target="https://www.dfa.arkansas.gov/images/uploads/accountingOffice/cafr2017.pdf" TargetMode="External"/><Relationship Id="rId21" Type="http://schemas.openxmlformats.org/officeDocument/2006/relationships/hyperlink" Target="http://das.nebraska.gov/accounting/cafr/cafr2017.pdf" TargetMode="External"/><Relationship Id="rId22" Type="http://schemas.openxmlformats.org/officeDocument/2006/relationships/hyperlink" Target="http://www.dfa.ms.gov/media/6359/2017-comprehensive-annual-financial-report.pdf" TargetMode="External"/><Relationship Id="rId23" Type="http://schemas.openxmlformats.org/officeDocument/2006/relationships/hyperlink" Target="http://www.nmdfa.state.nm.us/uploads/files/Board%20of%20Finance/2018/341-A_Comprehensive_Annual_Financial_Report_CAFR_FY2017.pdf" TargetMode="External"/><Relationship Id="rId24" Type="http://schemas.openxmlformats.org/officeDocument/2006/relationships/hyperlink" Target="https://ags.hawaii.gov/wp-content/uploads/2018/01/SOHCAFRFY2017Final.pdf" TargetMode="External"/><Relationship Id="rId25" Type="http://schemas.openxmlformats.org/officeDocument/2006/relationships/hyperlink" Target="https://www.nh.gov/treasury/documents/cafr-fy-2017.pdf" TargetMode="External"/><Relationship Id="rId26" Type="http://schemas.openxmlformats.org/officeDocument/2006/relationships/hyperlink" Target="https://finance.wv.gov/FARS/CAFR/Documents/CAFR2017.pdf" TargetMode="External"/><Relationship Id="rId27" Type="http://schemas.openxmlformats.org/officeDocument/2006/relationships/hyperlink" Target="https://accounting.delaware.gov/2017cafr.pdf" TargetMode="External"/><Relationship Id="rId28" Type="http://schemas.openxmlformats.org/officeDocument/2006/relationships/hyperlink" Target="https://www.sco.idaho.gov/web/DSADoc.nsf/1E5A9902C226BFA8872580A300723AFD/$FILE/CAFR%20Complete%202017R.pdf" TargetMode="External"/><Relationship Id="rId29" Type="http://schemas.openxmlformats.org/officeDocument/2006/relationships/hyperlink" Target="https://www.maine.gov/osc/sites/maine.gov.osc/files/inline-files/cafr2017.pdf" TargetMode="External"/><Relationship Id="rId1" Type="http://schemas.openxmlformats.org/officeDocument/2006/relationships/hyperlink" Target="https://comptroller.texas.gov/transparency/reports/comprehensive-annual-financial/2017/96-471.pdf" TargetMode="External"/><Relationship Id="rId2" Type="http://schemas.openxmlformats.org/officeDocument/2006/relationships/hyperlink" Target="https://www.sco.ca.gov/Files-ARD/CAFR/cafr17web.pdf" TargetMode="External"/><Relationship Id="rId3" Type="http://schemas.openxmlformats.org/officeDocument/2006/relationships/hyperlink" Target="https://www.osc.state.ny.us/finance/finreports/cafr/2017cafr.pdf" TargetMode="External"/><Relationship Id="rId4" Type="http://schemas.openxmlformats.org/officeDocument/2006/relationships/hyperlink" Target="https://www.myfloridacfo.com/division/aa/reports/documents/2017CAFR.pdf" TargetMode="External"/><Relationship Id="rId5" Type="http://schemas.openxmlformats.org/officeDocument/2006/relationships/hyperlink" Target="https://www.budget.pa.gov/PublicationsAndReports/AnnualFinancialReport/Documents/june-30-2017-cafr.pdf" TargetMode="External"/><Relationship Id="rId30" Type="http://schemas.openxmlformats.org/officeDocument/2006/relationships/hyperlink" Target="http://controller.admin.ri.gov/documents/Financial%20Reports/119_Comprehensive%20Annual%20Financial%20Report_06-30-2017.pdf" TargetMode="External"/><Relationship Id="rId31" Type="http://schemas.openxmlformats.org/officeDocument/2006/relationships/hyperlink" Target="https://www.nd.gov/omb/sites/omb/files/documents/agency/financial/cafr/2017-cafr-toc.pdf" TargetMode="External"/><Relationship Id="rId32" Type="http://schemas.openxmlformats.org/officeDocument/2006/relationships/hyperlink" Target="http://doa.alaska.gov/dof/reports/resource/2017cafr.pdf" TargetMode="External"/><Relationship Id="rId9" Type="http://schemas.openxmlformats.org/officeDocument/2006/relationships/hyperlink" Target="https://illinoiscomptroller.gov/financial-data/find-a-report/comprehensive-reporting/comprehensive-annual-financial-report-cafr/fiscal-year-2017/" TargetMode="External"/><Relationship Id="rId6" Type="http://schemas.openxmlformats.org/officeDocument/2006/relationships/hyperlink" Target="https://obm.ohio.gov/StateAccounting/financialreporting/doc/cafr/2017/cafr_2017.pdf" TargetMode="External"/><Relationship Id="rId7" Type="http://schemas.openxmlformats.org/officeDocument/2006/relationships/hyperlink" Target="https://www.state.nj.us/treasury/omb/publications/17cafr/pdf/fullcafr.pdf" TargetMode="External"/><Relationship Id="rId8" Type="http://schemas.openxmlformats.org/officeDocument/2006/relationships/hyperlink" Target="https://sao.georgia.gov/sites/sao.georgia.gov/files/related_files/site_page/sao-17-cafr.pdf" TargetMode="External"/><Relationship Id="rId33" Type="http://schemas.openxmlformats.org/officeDocument/2006/relationships/hyperlink" Target="https://bfm.sd.gov/cafr/SD_CAFR_2017.PDF" TargetMode="External"/><Relationship Id="rId34" Type="http://schemas.openxmlformats.org/officeDocument/2006/relationships/hyperlink" Target="https://sfsd.mt.gov/Portals/24/FY17%20CAFR%20web%20protected.pdf" TargetMode="External"/><Relationship Id="rId35" Type="http://schemas.openxmlformats.org/officeDocument/2006/relationships/hyperlink" Target="https://drive.google.com/file/d/1nrESzEcit0StjIz8r0GfZWbPLqurLnAO/view" TargetMode="External"/><Relationship Id="rId36" Type="http://schemas.openxmlformats.org/officeDocument/2006/relationships/hyperlink" Target="https://finance.vermont.gov/sites/finance/files/documents/Rpts_Pubs/CAFR/FIN-2017_CAFR_FINAL.pdf" TargetMode="External"/><Relationship Id="rId10" Type="http://schemas.openxmlformats.org/officeDocument/2006/relationships/hyperlink" Target="http://www.macomptroller.info/comptroller/docs/reports-audits/cafr/cafr-fy17.pdf" TargetMode="External"/><Relationship Id="rId11" Type="http://schemas.openxmlformats.org/officeDocument/2006/relationships/hyperlink" Target="https://files.nc.gov/ncosc/CAFR/2017/2017%20Comprehensive%20Annual%20Financial%20Report_bookmarks.pdf" TargetMode="External"/><Relationship Id="rId12" Type="http://schemas.openxmlformats.org/officeDocument/2006/relationships/hyperlink" Target="https://www.ofm.wa.gov/sites/default/files/public/accounting/report/CAFR/2017/05entitywide.pdf" TargetMode="External"/><Relationship Id="rId13" Type="http://schemas.openxmlformats.org/officeDocument/2006/relationships/hyperlink" Target="https://finances.marylandtaxes.gov/static_files/revenue/cafr/cafr2017.pdf" TargetMode="External"/><Relationship Id="rId14" Type="http://schemas.openxmlformats.org/officeDocument/2006/relationships/hyperlink" Target="https://www.in.gov/auditor/files/Financial%20Section%20-%20Basic%20Financial%20Statements%20-%20Pages%2022%20-%2048.pdf" TargetMode="External"/><Relationship Id="rId15" Type="http://schemas.openxmlformats.org/officeDocument/2006/relationships/hyperlink" Target="http://comptroller.alabama.gov/wp-content/uploads/sites/15/2018/11/CAFR-2017.Alabama.pdf" TargetMode="External"/><Relationship Id="rId16" Type="http://schemas.openxmlformats.org/officeDocument/2006/relationships/hyperlink" Target="https://finance.ky.gov/Office%20of%20the%20Controller/ControllerDocuments/2017%20CAFR.pdf" TargetMode="External"/><Relationship Id="rId17" Type="http://schemas.openxmlformats.org/officeDocument/2006/relationships/hyperlink" Target="https://ok.gov/OSF/documents/cafr2017.pdf" TargetMode="External"/><Relationship Id="rId18" Type="http://schemas.openxmlformats.org/officeDocument/2006/relationships/hyperlink" Target="https://dc.statelibrary.sc.gov/bitstream/handle/10827/26369/CG_Comprehensive_Annual_Report_2017-06-30.pdf" TargetMode="External"/><Relationship Id="rId19" Type="http://schemas.openxmlformats.org/officeDocument/2006/relationships/hyperlink" Target="http://controller.nv.gov/financialreports/CAFR_pdf_files/FY17All.pdf" TargetMode="External"/><Relationship Id="rId37" Type="http://schemas.openxmlformats.org/officeDocument/2006/relationships/hyperlink" Target="https://treasurer.utah.gov/wp-content/uploads/sites/10/2017/12/2017-State-of-Utah-CAFR.pdf" TargetMode="External"/><Relationship Id="rId38" Type="http://schemas.openxmlformats.org/officeDocument/2006/relationships/hyperlink" Target="https://admin.ks.gov/docs/default-source/cfo/cafr/2017-cafr---final.pdf" TargetMode="External"/><Relationship Id="rId39" Type="http://schemas.openxmlformats.org/officeDocument/2006/relationships/hyperlink" Target="https://www.michigan.gov/documents/budget/CAFR_FY_2017_611511_7.pdf"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das.iowa.gov/sites/default/files/acct_sae/cafr/fy00_cafr.pdf" TargetMode="External"/><Relationship Id="rId21" Type="http://schemas.openxmlformats.org/officeDocument/2006/relationships/hyperlink" Target="https://archive.org/details/cafr-SC-South-Carolina-2002" TargetMode="External"/><Relationship Id="rId22" Type="http://schemas.openxmlformats.org/officeDocument/2006/relationships/hyperlink" Target="https://finance.ky.gov/Office%20of%20the%20Controller/ControllerDocuments/2002%20CAFR.pdf" TargetMode="External"/><Relationship Id="rId23" Type="http://schemas.openxmlformats.org/officeDocument/2006/relationships/hyperlink" Target="https://archive.org/details/cafr-UT-Utah-2002" TargetMode="External"/><Relationship Id="rId24" Type="http://schemas.openxmlformats.org/officeDocument/2006/relationships/hyperlink" Target="https://archive.org/details/cafr-NE-Nebraska-2002" TargetMode="External"/><Relationship Id="rId25" Type="http://schemas.openxmlformats.org/officeDocument/2006/relationships/hyperlink" Target="https://das.nh.gov/accounting/OOCAFR%20for%20web.pdf" TargetMode="External"/><Relationship Id="rId26" Type="http://schemas.openxmlformats.org/officeDocument/2006/relationships/hyperlink" Target="https://finance.wv.gov/FARS/CAFR/Documents/CAFR2002.pdf" TargetMode="External"/><Relationship Id="rId27" Type="http://schemas.openxmlformats.org/officeDocument/2006/relationships/hyperlink" Target="https://archive.org/details/cafr-ND-North-Dakota-2002/" TargetMode="External"/><Relationship Id="rId28" Type="http://schemas.openxmlformats.org/officeDocument/2006/relationships/hyperlink" Target="https://drive.google.com/file/d/0B-jVEVbglokDQ2lOUmFzWG5Iem8/view" TargetMode="External"/><Relationship Id="rId29" Type="http://schemas.openxmlformats.org/officeDocument/2006/relationships/hyperlink" Target="http://comptroller.alabama.gov/wp-content/uploads/sites/15/2017/11/2000CAFR.pdf" TargetMode="External"/><Relationship Id="rId1" Type="http://schemas.openxmlformats.org/officeDocument/2006/relationships/hyperlink" Target="https://www.sco.ca.gov/Files-ARD/CAFR/2000_gen_purp_finan_stmts.pdf" TargetMode="External"/><Relationship Id="rId2" Type="http://schemas.openxmlformats.org/officeDocument/2006/relationships/hyperlink" Target="https://www.myfloridacfo.com/division/aa/reports/CAFR/CAFR2000.pdf" TargetMode="External"/><Relationship Id="rId3" Type="http://schemas.openxmlformats.org/officeDocument/2006/relationships/hyperlink" Target="https://obm.ohio.gov/stateaccounting/financialreporting/doc/cafr/2000/cafr_2000.pdf" TargetMode="External"/><Relationship Id="rId4" Type="http://schemas.openxmlformats.org/officeDocument/2006/relationships/hyperlink" Target="https://www.nj.gov/treasury/omb/publications/00cafr/pdf/finstats.pdf" TargetMode="External"/><Relationship Id="rId5" Type="http://schemas.openxmlformats.org/officeDocument/2006/relationships/hyperlink" Target="http://www.macomptroller.info/comptroller/docs/reports-audits/cafr/cafr-2000.pdf" TargetMode="External"/><Relationship Id="rId30" Type="http://schemas.openxmlformats.org/officeDocument/2006/relationships/hyperlink" Target="https://archive.org/details/cafr-TX-Texas-2002/page/n33" TargetMode="External"/><Relationship Id="rId31" Type="http://schemas.openxmlformats.org/officeDocument/2006/relationships/hyperlink" Target="https://archive.org/details/cafr-PA-Pennsylvania-2002" TargetMode="External"/><Relationship Id="rId32" Type="http://schemas.openxmlformats.org/officeDocument/2006/relationships/hyperlink" Target="https://archive.org/details/cafr-GA-Georgia-2002/page/n3" TargetMode="External"/><Relationship Id="rId9" Type="http://schemas.openxmlformats.org/officeDocument/2006/relationships/hyperlink" Target="https://finances.marylandtaxes.gov/static_files/revenue/cafr/cafr2000.pdf" TargetMode="External"/><Relationship Id="rId6" Type="http://schemas.openxmlformats.org/officeDocument/2006/relationships/hyperlink" Target="https://files.nc.gov/ncosc/June_30_2000_CAFR.pdf" TargetMode="External"/><Relationship Id="rId7" Type="http://schemas.openxmlformats.org/officeDocument/2006/relationships/hyperlink" Target="https://www.doa.virginia.gov/reports/CAFR/2002/G_Government_Wide.pdf" TargetMode="External"/><Relationship Id="rId8" Type="http://schemas.openxmlformats.org/officeDocument/2006/relationships/hyperlink" Target="https://www.michigan.gov/documents/budget/CAFR_2001_pages_1_thru_34_319387_7.pdf" TargetMode="External"/><Relationship Id="rId33" Type="http://schemas.openxmlformats.org/officeDocument/2006/relationships/hyperlink" Target="https://archive.org/details/cafr-WA-Washington-2002" TargetMode="External"/><Relationship Id="rId34" Type="http://schemas.openxmlformats.org/officeDocument/2006/relationships/hyperlink" Target="https://www.osc.state.ny.us/finance/" TargetMode="External"/><Relationship Id="rId35" Type="http://schemas.openxmlformats.org/officeDocument/2006/relationships/hyperlink" Target="https://archive.org/details/cafr-OR-Oregon-2002" TargetMode="External"/><Relationship Id="rId10" Type="http://schemas.openxmlformats.org/officeDocument/2006/relationships/hyperlink" Target="https://www.in.gov/auditor/files/Combined_Balance_Sheet_-_All_Fund_Types_Account_Groups_and_C.pdf" TargetMode="External"/><Relationship Id="rId11" Type="http://schemas.openxmlformats.org/officeDocument/2006/relationships/hyperlink" Target="https://mn.gov/mmb/assets/2000_tcm1059-124902.pdf" TargetMode="External"/><Relationship Id="rId12" Type="http://schemas.openxmlformats.org/officeDocument/2006/relationships/hyperlink" Target="https://www.tn.gov/content/dam/tn/finance/accounts/page1.pdf" TargetMode="External"/><Relationship Id="rId13" Type="http://schemas.openxmlformats.org/officeDocument/2006/relationships/hyperlink" Target="https://www.colorado.gov/pacific/sites/default/files/cafr00.pdf" TargetMode="External"/><Relationship Id="rId14" Type="http://schemas.openxmlformats.org/officeDocument/2006/relationships/hyperlink" Target="https://gao.az.gov/sites/default/files/CAFR%20FY2000.pdf" TargetMode="External"/><Relationship Id="rId15" Type="http://schemas.openxmlformats.org/officeDocument/2006/relationships/hyperlink" Target="https://doa.wi.gov/DEBFCapitalFinance/2000/2000cafr.pdf" TargetMode="External"/><Relationship Id="rId16" Type="http://schemas.openxmlformats.org/officeDocument/2006/relationships/hyperlink" Target="https://oa.mo.gov/sites/default/files/CAFR-2002.pdf" TargetMode="External"/><Relationship Id="rId17" Type="http://schemas.openxmlformats.org/officeDocument/2006/relationships/hyperlink" Target="https://www.osc.ct.gov/2000cafr/financial/general/combalsht.htm" TargetMode="External"/><Relationship Id="rId18" Type="http://schemas.openxmlformats.org/officeDocument/2006/relationships/hyperlink" Target="http://cafr1.com/STATES/LOUISIANA/LA%202000%20CAFR.pdf" TargetMode="External"/><Relationship Id="rId19" Type="http://schemas.openxmlformats.org/officeDocument/2006/relationships/hyperlink" Target="http://sfsd.mt.gov/Portals/24/SAB/cafr/Documents/Mt00caf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98"/>
  <sheetViews>
    <sheetView tabSelected="1" showWhiteSpace="0" view="pageBreakPreview" zoomScale="150" zoomScaleNormal="150" zoomScaleSheetLayoutView="100" zoomScalePageLayoutView="150" workbookViewId="0"/>
  </sheetViews>
  <sheetFormatPr baseColWidth="10" defaultColWidth="9.1640625" defaultRowHeight="12" x14ac:dyDescent="0"/>
  <cols>
    <col min="1" max="1" width="3.1640625" style="8" customWidth="1"/>
    <col min="2" max="2" width="16.83203125" style="8" customWidth="1"/>
    <col min="3" max="3" width="10.5" style="8" customWidth="1"/>
    <col min="4" max="4" width="7.1640625" style="8" customWidth="1"/>
    <col min="5" max="5" width="12.5" style="8" customWidth="1"/>
    <col min="6" max="6" width="14" style="8" customWidth="1"/>
    <col min="7" max="7" width="17" style="8" customWidth="1"/>
    <col min="8" max="8" width="10.5" style="8" customWidth="1"/>
    <col min="9" max="9" width="11" style="8" customWidth="1"/>
    <col min="10" max="10" width="11.5" style="8" customWidth="1"/>
    <col min="11" max="11" width="16.33203125" style="8" customWidth="1"/>
    <col min="12" max="12" width="10.83203125" style="8" customWidth="1"/>
    <col min="13" max="13" width="15" style="8" customWidth="1"/>
    <col min="14" max="14" width="17.33203125" style="8" customWidth="1"/>
    <col min="15" max="15" width="9.1640625" style="8"/>
    <col min="16" max="16" width="16.1640625" style="8" bestFit="1" customWidth="1"/>
    <col min="17" max="16384" width="9.1640625" style="8"/>
  </cols>
  <sheetData>
    <row r="1" spans="1:15">
      <c r="A1" s="36"/>
      <c r="B1" s="36"/>
      <c r="C1" s="36"/>
      <c r="D1" s="36"/>
      <c r="E1" s="36"/>
      <c r="F1" s="36"/>
      <c r="G1" s="36"/>
      <c r="H1" s="36"/>
      <c r="I1" s="36"/>
      <c r="J1" s="37"/>
      <c r="K1" s="36"/>
      <c r="L1" s="36"/>
      <c r="M1" s="36"/>
      <c r="N1" s="41" t="s">
        <v>325</v>
      </c>
    </row>
    <row r="2" spans="1:15" s="38" customFormat="1" ht="17">
      <c r="A2" s="104" t="s">
        <v>163</v>
      </c>
      <c r="B2" s="104"/>
      <c r="C2" s="104"/>
      <c r="D2" s="104"/>
      <c r="E2" s="104"/>
      <c r="F2" s="104"/>
      <c r="G2" s="104"/>
      <c r="H2" s="104"/>
      <c r="I2" s="104"/>
      <c r="J2" s="104"/>
      <c r="K2" s="104"/>
      <c r="L2" s="104"/>
      <c r="M2" s="104"/>
      <c r="N2" s="104"/>
    </row>
    <row r="3" spans="1:15" ht="54" customHeight="1">
      <c r="A3" s="30"/>
      <c r="B3" s="30"/>
      <c r="C3" s="30"/>
      <c r="D3" s="30"/>
      <c r="E3" s="30"/>
      <c r="F3" s="30"/>
      <c r="G3" s="30"/>
      <c r="H3" s="30"/>
      <c r="I3" s="30"/>
      <c r="J3" s="13"/>
      <c r="K3" s="36"/>
      <c r="L3" s="36"/>
      <c r="M3" s="36"/>
      <c r="N3" s="36"/>
    </row>
    <row r="4" spans="1:15" s="39" customFormat="1" ht="17">
      <c r="A4" s="105" t="s">
        <v>191</v>
      </c>
      <c r="B4" s="106"/>
      <c r="C4" s="106"/>
      <c r="D4" s="106"/>
      <c r="E4" s="106"/>
      <c r="F4" s="106"/>
      <c r="G4" s="106"/>
      <c r="H4" s="106"/>
      <c r="I4" s="106"/>
      <c r="J4" s="106"/>
      <c r="K4" s="106"/>
      <c r="L4" s="106"/>
      <c r="M4" s="106"/>
      <c r="N4" s="106"/>
    </row>
    <row r="5" spans="1:15" s="10" customFormat="1">
      <c r="A5" s="31"/>
      <c r="B5" s="31"/>
      <c r="C5" s="31"/>
      <c r="D5" s="31"/>
      <c r="E5" s="31"/>
      <c r="F5" s="31"/>
      <c r="G5" s="31"/>
      <c r="H5" s="31"/>
      <c r="I5" s="31"/>
      <c r="J5" s="31"/>
      <c r="K5" s="31"/>
      <c r="L5" s="31"/>
      <c r="M5" s="31"/>
      <c r="N5" s="31"/>
    </row>
    <row r="6" spans="1:15">
      <c r="A6" s="107" t="s">
        <v>175</v>
      </c>
      <c r="B6" s="107"/>
      <c r="C6" s="107"/>
      <c r="D6" s="107"/>
      <c r="E6" s="107"/>
      <c r="F6" s="107"/>
      <c r="G6" s="107"/>
      <c r="H6" s="107"/>
      <c r="I6" s="107"/>
      <c r="J6" s="107"/>
      <c r="K6" s="107"/>
      <c r="L6" s="107"/>
      <c r="M6" s="107"/>
      <c r="N6" s="107"/>
    </row>
    <row r="7" spans="1:15">
      <c r="A7" s="107"/>
      <c r="B7" s="107"/>
      <c r="C7" s="107"/>
      <c r="D7" s="107"/>
      <c r="E7" s="107"/>
      <c r="F7" s="107"/>
      <c r="G7" s="107"/>
      <c r="H7" s="107"/>
      <c r="I7" s="107"/>
      <c r="J7" s="107"/>
      <c r="K7" s="107"/>
      <c r="L7" s="107"/>
      <c r="M7" s="107"/>
      <c r="N7" s="107"/>
    </row>
    <row r="8" spans="1:15">
      <c r="A8" s="107"/>
      <c r="B8" s="107"/>
      <c r="C8" s="107"/>
      <c r="D8" s="107"/>
      <c r="E8" s="107"/>
      <c r="F8" s="107"/>
      <c r="G8" s="107"/>
      <c r="H8" s="107"/>
      <c r="I8" s="107"/>
      <c r="J8" s="107"/>
      <c r="K8" s="107"/>
      <c r="L8" s="107"/>
      <c r="M8" s="107"/>
      <c r="N8" s="107"/>
    </row>
    <row r="9" spans="1:15">
      <c r="A9" s="107"/>
      <c r="B9" s="107"/>
      <c r="C9" s="107"/>
      <c r="D9" s="107"/>
      <c r="E9" s="107"/>
      <c r="F9" s="107"/>
      <c r="G9" s="107"/>
      <c r="H9" s="107"/>
      <c r="I9" s="107"/>
      <c r="J9" s="107"/>
      <c r="K9" s="107"/>
      <c r="L9" s="107"/>
      <c r="M9" s="107"/>
      <c r="N9" s="107"/>
    </row>
    <row r="10" spans="1:15">
      <c r="A10" s="107"/>
      <c r="B10" s="107"/>
      <c r="C10" s="107"/>
      <c r="D10" s="107"/>
      <c r="E10" s="107"/>
      <c r="F10" s="107"/>
      <c r="G10" s="107"/>
      <c r="H10" s="107"/>
      <c r="I10" s="107"/>
      <c r="J10" s="107"/>
      <c r="K10" s="107"/>
      <c r="L10" s="107"/>
      <c r="M10" s="107"/>
      <c r="N10" s="107"/>
    </row>
    <row r="11" spans="1:15">
      <c r="A11" s="107"/>
      <c r="B11" s="107"/>
      <c r="C11" s="107"/>
      <c r="D11" s="107"/>
      <c r="E11" s="107"/>
      <c r="F11" s="107"/>
      <c r="G11" s="107"/>
      <c r="H11" s="107"/>
      <c r="I11" s="107"/>
      <c r="J11" s="107"/>
      <c r="K11" s="107"/>
      <c r="L11" s="107"/>
      <c r="M11" s="107"/>
      <c r="N11" s="107"/>
    </row>
    <row r="12" spans="1:15">
      <c r="A12" s="107"/>
      <c r="B12" s="107"/>
      <c r="C12" s="107"/>
      <c r="D12" s="107"/>
      <c r="E12" s="107"/>
      <c r="F12" s="107"/>
      <c r="G12" s="107"/>
      <c r="H12" s="107"/>
      <c r="I12" s="107"/>
      <c r="J12" s="107"/>
      <c r="K12" s="107"/>
      <c r="L12" s="107"/>
      <c r="M12" s="107"/>
      <c r="N12" s="107"/>
    </row>
    <row r="13" spans="1:15">
      <c r="A13" s="107"/>
      <c r="B13" s="107"/>
      <c r="C13" s="107"/>
      <c r="D13" s="107"/>
      <c r="E13" s="107"/>
      <c r="F13" s="107"/>
      <c r="G13" s="107"/>
      <c r="H13" s="107"/>
      <c r="I13" s="107"/>
      <c r="J13" s="107"/>
      <c r="K13" s="107"/>
      <c r="L13" s="107"/>
      <c r="M13" s="107"/>
      <c r="N13" s="107"/>
    </row>
    <row r="14" spans="1:15" ht="15" customHeight="1">
      <c r="A14" s="49"/>
      <c r="B14" s="49"/>
      <c r="C14" s="49"/>
      <c r="D14" s="49"/>
      <c r="E14" s="49"/>
      <c r="F14" s="49"/>
      <c r="G14" s="49"/>
      <c r="H14" s="49"/>
      <c r="I14" s="49"/>
      <c r="J14" s="49"/>
      <c r="K14" s="49"/>
      <c r="L14" s="49"/>
      <c r="M14" s="49"/>
      <c r="N14" s="49"/>
    </row>
    <row r="15" spans="1:15" ht="72">
      <c r="A15" s="109"/>
      <c r="B15" s="110"/>
      <c r="C15" s="50" t="s">
        <v>166</v>
      </c>
      <c r="D15" s="50" t="s">
        <v>164</v>
      </c>
      <c r="E15" s="51" t="s">
        <v>185</v>
      </c>
      <c r="F15" s="51" t="s">
        <v>186</v>
      </c>
      <c r="G15" s="51" t="s">
        <v>312</v>
      </c>
      <c r="H15" s="51" t="s">
        <v>187</v>
      </c>
      <c r="I15" s="50" t="s">
        <v>167</v>
      </c>
      <c r="J15" s="51" t="s">
        <v>188</v>
      </c>
      <c r="K15" s="51" t="s">
        <v>310</v>
      </c>
      <c r="L15" s="51" t="s">
        <v>189</v>
      </c>
      <c r="M15" s="51" t="s">
        <v>190</v>
      </c>
      <c r="N15" s="51" t="s">
        <v>195</v>
      </c>
    </row>
    <row r="16" spans="1:15" ht="14.25" customHeight="1">
      <c r="A16" s="108" t="s">
        <v>183</v>
      </c>
      <c r="B16" s="108"/>
      <c r="C16" s="27">
        <f t="shared" ref="C16:N16" si="0">C78</f>
        <v>19236463</v>
      </c>
      <c r="D16" s="52">
        <f t="shared" si="0"/>
        <v>1.0000000000000004</v>
      </c>
      <c r="E16" s="27">
        <f t="shared" si="0"/>
        <v>2633883.6790000005</v>
      </c>
      <c r="F16" s="27">
        <f t="shared" si="0"/>
        <v>2030646.0010000004</v>
      </c>
      <c r="G16" s="27">
        <f t="shared" si="0"/>
        <v>603237.67799999984</v>
      </c>
      <c r="H16" s="27">
        <f t="shared" si="0"/>
        <v>19839700.678000011</v>
      </c>
      <c r="I16" s="27">
        <f t="shared" si="0"/>
        <v>325025206</v>
      </c>
      <c r="J16" s="27">
        <f t="shared" si="0"/>
        <v>6247.6569924856858</v>
      </c>
      <c r="K16" s="27">
        <f t="shared" si="0"/>
        <v>1855.9719888309212</v>
      </c>
      <c r="L16" s="27">
        <f t="shared" si="0"/>
        <v>61040.498742119133</v>
      </c>
      <c r="M16" s="27">
        <f t="shared" si="0"/>
        <v>-1544.9490153265506</v>
      </c>
      <c r="N16" s="27">
        <f t="shared" si="0"/>
        <v>-60729.475768614764</v>
      </c>
      <c r="O16" s="18"/>
    </row>
    <row r="17" spans="1:17">
      <c r="A17" s="108" t="s">
        <v>181</v>
      </c>
      <c r="B17" s="108"/>
      <c r="C17" s="27">
        <f>C16</f>
        <v>19236463</v>
      </c>
      <c r="D17" s="52"/>
      <c r="E17" s="27">
        <v>3480700</v>
      </c>
      <c r="F17" s="27">
        <v>23896900</v>
      </c>
      <c r="G17" s="27">
        <v>-20416200</v>
      </c>
      <c r="H17" s="27">
        <f>C17+G17</f>
        <v>-1179737</v>
      </c>
      <c r="I17" s="27">
        <f>I16</f>
        <v>325025206</v>
      </c>
      <c r="J17" s="27">
        <f>(F17/I17*1000000)</f>
        <v>73523.220842139854</v>
      </c>
      <c r="K17" s="27">
        <f>(G17/I17)*1000000</f>
        <v>-62814.205246592479</v>
      </c>
      <c r="L17" s="27">
        <f>(H17*1000000)/I17</f>
        <v>-3629.6784933043009</v>
      </c>
      <c r="M17" s="59" t="s">
        <v>184</v>
      </c>
      <c r="N17" s="59" t="s">
        <v>184</v>
      </c>
      <c r="O17" s="18"/>
      <c r="P17" s="42"/>
      <c r="Q17" s="43"/>
    </row>
    <row r="18" spans="1:17">
      <c r="A18" s="108" t="s">
        <v>182</v>
      </c>
      <c r="B18" s="108"/>
      <c r="C18" s="27">
        <f>C16</f>
        <v>19236463</v>
      </c>
      <c r="D18" s="52"/>
      <c r="E18" s="27">
        <f>E16+E17</f>
        <v>6114583.6790000005</v>
      </c>
      <c r="F18" s="27">
        <f>F16+F17</f>
        <v>25927546.001000002</v>
      </c>
      <c r="G18" s="27">
        <f>G16+G17</f>
        <v>-19812962.322000001</v>
      </c>
      <c r="H18" s="27">
        <f>C18+G18</f>
        <v>-576499.32200000063</v>
      </c>
      <c r="I18" s="27">
        <f>I16</f>
        <v>325025206</v>
      </c>
      <c r="J18" s="27">
        <f>(F18/I18)*1000000</f>
        <v>79770.877834625542</v>
      </c>
      <c r="K18" s="27">
        <f>(G18/I18)*1000000</f>
        <v>-60958.233257761553</v>
      </c>
      <c r="L18" s="27">
        <f>(H18*1000000)/I18</f>
        <v>-1773.7065044733811</v>
      </c>
      <c r="M18" s="59" t="s">
        <v>184</v>
      </c>
      <c r="N18" s="59" t="s">
        <v>184</v>
      </c>
      <c r="O18" s="18"/>
    </row>
    <row r="19" spans="1:17" s="29" customFormat="1">
      <c r="A19" s="90" t="s">
        <v>194</v>
      </c>
      <c r="B19" s="91"/>
      <c r="C19" s="91"/>
      <c r="D19" s="92"/>
      <c r="E19" s="58">
        <f>E17/E16</f>
        <v>1.3215086253624944</v>
      </c>
      <c r="F19" s="58">
        <f>F17/F16</f>
        <v>11.76812698433497</v>
      </c>
      <c r="G19" s="55"/>
      <c r="H19" s="53"/>
      <c r="I19" s="53"/>
      <c r="J19" s="53"/>
      <c r="K19" s="53"/>
      <c r="L19" s="53"/>
      <c r="M19" s="56"/>
      <c r="N19" s="56"/>
      <c r="O19" s="57"/>
    </row>
    <row r="20" spans="1:17">
      <c r="A20" s="45"/>
      <c r="B20" s="46"/>
      <c r="C20" s="47"/>
      <c r="D20" s="48"/>
      <c r="E20" s="47"/>
      <c r="F20" s="47"/>
      <c r="G20" s="47"/>
      <c r="H20" s="47"/>
      <c r="I20" s="47"/>
      <c r="J20" s="47"/>
      <c r="K20" s="47"/>
      <c r="L20" s="47"/>
      <c r="M20" s="47"/>
      <c r="N20" s="47"/>
      <c r="O20" s="18"/>
    </row>
    <row r="21" spans="1:17">
      <c r="A21" s="102" t="s">
        <v>1</v>
      </c>
      <c r="B21" s="102"/>
      <c r="C21" s="26">
        <f t="shared" ref="C21:E24" si="1">C79</f>
        <v>10958936</v>
      </c>
      <c r="D21" s="44">
        <f t="shared" si="1"/>
        <v>0.56969599868749266</v>
      </c>
      <c r="E21" s="26">
        <f>E79</f>
        <v>1320724.0260000001</v>
      </c>
      <c r="F21" s="26">
        <f t="shared" ref="F21:L21" si="2">F79</f>
        <v>1308196.0490000001</v>
      </c>
      <c r="G21" s="26">
        <f t="shared" si="2"/>
        <v>12527.97699999997</v>
      </c>
      <c r="H21" s="26">
        <f t="shared" si="2"/>
        <v>10971463.977</v>
      </c>
      <c r="I21" s="26">
        <f t="shared" si="2"/>
        <v>172236059</v>
      </c>
      <c r="J21" s="26">
        <f t="shared" si="2"/>
        <v>7595.3668273378225</v>
      </c>
      <c r="K21" s="26">
        <f t="shared" si="2"/>
        <v>72.73724835982209</v>
      </c>
      <c r="L21" s="26">
        <f t="shared" si="2"/>
        <v>63700.156870170838</v>
      </c>
      <c r="M21" s="26">
        <f>M79</f>
        <v>1114.7091127251551</v>
      </c>
      <c r="N21" s="26">
        <f>N79</f>
        <v>-62512.71050908586</v>
      </c>
      <c r="O21" s="18"/>
    </row>
    <row r="22" spans="1:17">
      <c r="A22" s="103" t="s">
        <v>4</v>
      </c>
      <c r="B22" s="103"/>
      <c r="C22" s="27">
        <f t="shared" si="1"/>
        <v>15166485</v>
      </c>
      <c r="D22" s="17">
        <f t="shared" si="1"/>
        <v>0.78842378663894708</v>
      </c>
      <c r="E22" s="26">
        <f t="shared" si="1"/>
        <v>1845859.3810000001</v>
      </c>
      <c r="F22" s="26">
        <f t="shared" ref="F22:M22" si="3">F80</f>
        <v>1609651.7400000002</v>
      </c>
      <c r="G22" s="26">
        <f t="shared" si="3"/>
        <v>236207.64099999997</v>
      </c>
      <c r="H22" s="26">
        <f t="shared" si="3"/>
        <v>15402692.641000001</v>
      </c>
      <c r="I22" s="26">
        <f t="shared" si="3"/>
        <v>245982561</v>
      </c>
      <c r="J22" s="26">
        <f t="shared" si="3"/>
        <v>6543.7636450984028</v>
      </c>
      <c r="K22" s="26">
        <f t="shared" si="3"/>
        <v>960.26173579028625</v>
      </c>
      <c r="L22" s="26">
        <f t="shared" si="3"/>
        <v>62617.010646539289</v>
      </c>
      <c r="M22" s="26">
        <f t="shared" si="3"/>
        <v>31.562889093605918</v>
      </c>
      <c r="N22" s="26">
        <f>N80</f>
        <v>-61625.186021655398</v>
      </c>
      <c r="O22" s="18"/>
    </row>
    <row r="23" spans="1:17">
      <c r="A23" s="103" t="s">
        <v>3</v>
      </c>
      <c r="B23" s="103"/>
      <c r="C23" s="27">
        <f t="shared" si="1"/>
        <v>17526869</v>
      </c>
      <c r="D23" s="17">
        <f t="shared" si="1"/>
        <v>0.9111274250365049</v>
      </c>
      <c r="E23" s="26">
        <f t="shared" si="1"/>
        <v>2204172.9810000001</v>
      </c>
      <c r="F23" s="26">
        <f t="shared" ref="F23:M23" si="4">F81</f>
        <v>1868465.3400000003</v>
      </c>
      <c r="G23" s="26">
        <f t="shared" si="4"/>
        <v>335707.64099999995</v>
      </c>
      <c r="H23" s="26">
        <f t="shared" si="4"/>
        <v>17862576.641000003</v>
      </c>
      <c r="I23" s="26">
        <f t="shared" si="4"/>
        <v>291736749</v>
      </c>
      <c r="J23" s="26">
        <f t="shared" si="4"/>
        <v>6404.6279613542974</v>
      </c>
      <c r="K23" s="26">
        <f t="shared" si="4"/>
        <v>1150.7211283827664</v>
      </c>
      <c r="L23" s="26">
        <f t="shared" si="4"/>
        <v>61228.407810220728</v>
      </c>
      <c r="M23" s="26">
        <f t="shared" si="4"/>
        <v>-1357.0399472249555</v>
      </c>
      <c r="N23" s="26">
        <f>N81</f>
        <v>-61434.72662906292</v>
      </c>
      <c r="O23" s="18"/>
    </row>
    <row r="24" spans="1:17">
      <c r="A24" s="103" t="s">
        <v>2</v>
      </c>
      <c r="B24" s="103"/>
      <c r="C24" s="27">
        <f t="shared" si="1"/>
        <v>18699219</v>
      </c>
      <c r="D24" s="17">
        <f t="shared" si="1"/>
        <v>0.97207158093460322</v>
      </c>
      <c r="E24" s="26">
        <f t="shared" si="1"/>
        <v>2428996.4470000002</v>
      </c>
      <c r="F24" s="26">
        <f t="shared" ref="F24:M24" si="5">F82</f>
        <v>1971392.6660000004</v>
      </c>
      <c r="G24" s="26">
        <f t="shared" si="5"/>
        <v>457603.78099999984</v>
      </c>
      <c r="H24" s="26">
        <f t="shared" si="5"/>
        <v>19156822.781000007</v>
      </c>
      <c r="I24" s="26">
        <f t="shared" si="5"/>
        <v>315332459</v>
      </c>
      <c r="J24" s="26">
        <f t="shared" si="5"/>
        <v>6251.7911167527491</v>
      </c>
      <c r="K24" s="26">
        <f t="shared" si="5"/>
        <v>1451.1788049069817</v>
      </c>
      <c r="L24" s="26">
        <f t="shared" si="5"/>
        <v>60751.19206488035</v>
      </c>
      <c r="M24" s="26">
        <f t="shared" si="5"/>
        <v>-1834.2556925653334</v>
      </c>
      <c r="N24" s="26">
        <f>N82</f>
        <v>-61134.268952538703</v>
      </c>
      <c r="O24" s="18"/>
    </row>
    <row r="25" spans="1:17" ht="15" customHeight="1">
      <c r="A25" s="32"/>
      <c r="B25" s="32"/>
      <c r="C25" s="32"/>
      <c r="D25" s="32"/>
      <c r="E25" s="32"/>
      <c r="F25" s="32"/>
      <c r="G25" s="32"/>
      <c r="H25" s="32"/>
      <c r="I25" s="32"/>
      <c r="J25" s="32"/>
      <c r="K25" s="32"/>
      <c r="L25" s="32"/>
      <c r="M25" s="32"/>
      <c r="N25" s="32"/>
    </row>
    <row r="26" spans="1:17" ht="13" thickBot="1">
      <c r="A26" s="33"/>
      <c r="B26" s="33"/>
      <c r="C26" s="33"/>
      <c r="D26" s="33"/>
      <c r="E26" s="33"/>
      <c r="F26" s="33"/>
      <c r="G26" s="33"/>
      <c r="H26" s="33"/>
      <c r="I26" s="33"/>
      <c r="J26" s="33"/>
      <c r="K26" s="33"/>
      <c r="L26" s="33"/>
      <c r="M26" s="33"/>
      <c r="N26" s="33"/>
    </row>
    <row r="27" spans="1:17" ht="72">
      <c r="A27" s="11" t="s">
        <v>45</v>
      </c>
      <c r="B27" s="11" t="s">
        <v>165</v>
      </c>
      <c r="C27" s="50" t="s">
        <v>166</v>
      </c>
      <c r="D27" s="50" t="s">
        <v>164</v>
      </c>
      <c r="E27" s="51" t="s">
        <v>185</v>
      </c>
      <c r="F27" s="51" t="s">
        <v>186</v>
      </c>
      <c r="G27" s="51" t="s">
        <v>309</v>
      </c>
      <c r="H27" s="51" t="s">
        <v>187</v>
      </c>
      <c r="I27" s="50" t="s">
        <v>167</v>
      </c>
      <c r="J27" s="51" t="s">
        <v>188</v>
      </c>
      <c r="K27" s="51" t="s">
        <v>310</v>
      </c>
      <c r="L27" s="51" t="s">
        <v>189</v>
      </c>
      <c r="M27" s="51" t="s">
        <v>190</v>
      </c>
      <c r="N27" s="51" t="s">
        <v>324</v>
      </c>
    </row>
    <row r="28" spans="1:17">
      <c r="A28" s="14">
        <v>1</v>
      </c>
      <c r="B28" s="15" t="s">
        <v>46</v>
      </c>
      <c r="C28" s="16">
        <v>2797601</v>
      </c>
      <c r="D28" s="17">
        <f t="shared" ref="D28:D59" si="6">C28/$C$78</f>
        <v>0.14543219301801999</v>
      </c>
      <c r="E28" s="16">
        <v>270288.36599999998</v>
      </c>
      <c r="F28" s="16">
        <v>291630.44099999999</v>
      </c>
      <c r="G28" s="16">
        <f>E28-F28</f>
        <v>-21342.075000000012</v>
      </c>
      <c r="H28" s="16">
        <f>C28+G28</f>
        <v>2776258.9249999998</v>
      </c>
      <c r="I28" s="16">
        <v>39536653</v>
      </c>
      <c r="J28" s="16">
        <f>F28*1000000/I28</f>
        <v>7376.2045816068448</v>
      </c>
      <c r="K28" s="16">
        <f>G28*1000000/I28</f>
        <v>-539.80479834749826</v>
      </c>
      <c r="L28" s="16">
        <f>H28*1000000/I28</f>
        <v>70219.877362911822</v>
      </c>
      <c r="M28" s="16">
        <f>L28+$E$87</f>
        <v>7634.429605466139</v>
      </c>
      <c r="N28" s="16">
        <f>K28+$E$87</f>
        <v>-63125.25255579318</v>
      </c>
      <c r="O28" s="18"/>
    </row>
    <row r="29" spans="1:17">
      <c r="A29" s="14">
        <v>2</v>
      </c>
      <c r="B29" s="15" t="s">
        <v>53</v>
      </c>
      <c r="C29" s="16">
        <v>1645136</v>
      </c>
      <c r="D29" s="17">
        <f t="shared" si="6"/>
        <v>8.5521751062032553E-2</v>
      </c>
      <c r="E29" s="16">
        <f>307916.117+12796.252</f>
        <v>320712.36900000001</v>
      </c>
      <c r="F29" s="16">
        <f>136870.485+16156.231</f>
        <v>153026.71599999999</v>
      </c>
      <c r="G29" s="16">
        <f>E29-F29</f>
        <v>167685.65300000002</v>
      </c>
      <c r="H29" s="16">
        <f t="shared" ref="H29:H77" si="7">C29+G29</f>
        <v>1812821.6529999999</v>
      </c>
      <c r="I29" s="16">
        <v>28304596</v>
      </c>
      <c r="J29" s="16">
        <f t="shared" ref="J29:J77" si="8">F29*1000000/I29</f>
        <v>5406.426433360858</v>
      </c>
      <c r="K29" s="16">
        <f t="shared" ref="K29:K77" si="9">G29*1000000/I29</f>
        <v>5924.325964588932</v>
      </c>
      <c r="L29" s="16">
        <f t="shared" ref="L29:L77" si="10">H29*1000000/I29</f>
        <v>64046.900828402569</v>
      </c>
      <c r="M29" s="16">
        <f t="shared" ref="M29:M82" si="11">L29+$E$87</f>
        <v>1461.4530709568862</v>
      </c>
      <c r="N29" s="16">
        <f t="shared" ref="N29:N77" si="12">K29+$E$87</f>
        <v>-56661.121792856749</v>
      </c>
      <c r="O29" s="18"/>
    </row>
    <row r="30" spans="1:17">
      <c r="A30" s="14">
        <v>3</v>
      </c>
      <c r="B30" s="15" t="s">
        <v>54</v>
      </c>
      <c r="C30" s="16">
        <v>1606601</v>
      </c>
      <c r="D30" s="17">
        <f t="shared" si="6"/>
        <v>8.3518524169438016E-2</v>
      </c>
      <c r="E30" s="16">
        <f>160209+9552</f>
        <v>169761</v>
      </c>
      <c r="F30" s="16">
        <f>139536+1313</f>
        <v>140849</v>
      </c>
      <c r="G30" s="16">
        <f>E30-F30</f>
        <v>28912</v>
      </c>
      <c r="H30" s="16">
        <f t="shared" si="7"/>
        <v>1635513</v>
      </c>
      <c r="I30" s="16">
        <v>19849399</v>
      </c>
      <c r="J30" s="16">
        <f t="shared" si="8"/>
        <v>7095.8823488811931</v>
      </c>
      <c r="K30" s="16">
        <f t="shared" si="9"/>
        <v>1456.5680300950171</v>
      </c>
      <c r="L30" s="16">
        <f t="shared" si="10"/>
        <v>82396.096728167948</v>
      </c>
      <c r="M30" s="16">
        <f t="shared" si="11"/>
        <v>19810.648970722264</v>
      </c>
      <c r="N30" s="16">
        <f t="shared" si="12"/>
        <v>-61128.879727350664</v>
      </c>
      <c r="O30" s="18"/>
    </row>
    <row r="31" spans="1:17">
      <c r="A31" s="14">
        <v>4</v>
      </c>
      <c r="B31" s="15" t="s">
        <v>47</v>
      </c>
      <c r="C31" s="16">
        <v>976386</v>
      </c>
      <c r="D31" s="17">
        <f t="shared" si="6"/>
        <v>5.0757044057423657E-2</v>
      </c>
      <c r="E31" s="16">
        <f>150477.013+3504.156</f>
        <v>153981.16899999999</v>
      </c>
      <c r="F31" s="16">
        <f>56577.897+815.274</f>
        <v>57393.170999999995</v>
      </c>
      <c r="G31" s="16">
        <f t="shared" ref="G31:G77" si="13">E31-F31</f>
        <v>96587.997999999992</v>
      </c>
      <c r="H31" s="16">
        <f t="shared" si="7"/>
        <v>1072973.9979999999</v>
      </c>
      <c r="I31" s="16">
        <v>20984400</v>
      </c>
      <c r="J31" s="16">
        <f t="shared" si="8"/>
        <v>2735.039886773031</v>
      </c>
      <c r="K31" s="16">
        <f t="shared" si="9"/>
        <v>4602.847734507538</v>
      </c>
      <c r="L31" s="16">
        <f t="shared" si="10"/>
        <v>51131.983664055195</v>
      </c>
      <c r="M31" s="16">
        <f t="shared" si="11"/>
        <v>-11453.464093390488</v>
      </c>
      <c r="N31" s="16">
        <f t="shared" si="12"/>
        <v>-57982.600022938146</v>
      </c>
      <c r="O31" s="18"/>
    </row>
    <row r="32" spans="1:17">
      <c r="A32" s="14">
        <v>5</v>
      </c>
      <c r="B32" s="15" t="s">
        <v>48</v>
      </c>
      <c r="C32" s="16">
        <v>822540</v>
      </c>
      <c r="D32" s="17">
        <f t="shared" si="6"/>
        <v>4.275941996197534E-2</v>
      </c>
      <c r="E32" s="16">
        <f>54303.871+26582.975</f>
        <v>80886.84599999999</v>
      </c>
      <c r="F32" s="16">
        <f>214780.473+2694.184</f>
        <v>217474.65700000001</v>
      </c>
      <c r="G32" s="16">
        <f t="shared" si="13"/>
        <v>-136587.81100000002</v>
      </c>
      <c r="H32" s="16">
        <f t="shared" si="7"/>
        <v>685952.18900000001</v>
      </c>
      <c r="I32" s="16">
        <v>12802023</v>
      </c>
      <c r="J32" s="16">
        <f t="shared" si="8"/>
        <v>16987.52275323986</v>
      </c>
      <c r="K32" s="16">
        <f t="shared" si="9"/>
        <v>-10669.236494888348</v>
      </c>
      <c r="L32" s="16">
        <f t="shared" si="10"/>
        <v>53581.546369663607</v>
      </c>
      <c r="M32" s="16">
        <f t="shared" si="11"/>
        <v>-9003.9013877820762</v>
      </c>
      <c r="N32" s="16">
        <f t="shared" si="12"/>
        <v>-73254.684252334031</v>
      </c>
      <c r="O32" s="18"/>
    </row>
    <row r="33" spans="1:15">
      <c r="A33" s="14">
        <v>6</v>
      </c>
      <c r="B33" s="15" t="s">
        <v>49</v>
      </c>
      <c r="C33" s="16">
        <v>756269</v>
      </c>
      <c r="D33" s="17">
        <f t="shared" si="6"/>
        <v>3.9314347965111879E-2</v>
      </c>
      <c r="E33" s="16">
        <f>67128.399+3608.424</f>
        <v>70736.823000000004</v>
      </c>
      <c r="F33" s="16">
        <f>56721.613+860.915</f>
        <v>57582.527999999998</v>
      </c>
      <c r="G33" s="16">
        <f t="shared" si="13"/>
        <v>13154.295000000006</v>
      </c>
      <c r="H33" s="16">
        <f t="shared" si="7"/>
        <v>769423.29500000004</v>
      </c>
      <c r="I33" s="16">
        <v>12805537</v>
      </c>
      <c r="J33" s="16">
        <f t="shared" si="8"/>
        <v>4496.6898303444832</v>
      </c>
      <c r="K33" s="16">
        <f t="shared" si="9"/>
        <v>1027.2349375117972</v>
      </c>
      <c r="L33" s="16">
        <f t="shared" si="10"/>
        <v>60085.203377257822</v>
      </c>
      <c r="M33" s="16">
        <f t="shared" si="11"/>
        <v>-2500.2443801878617</v>
      </c>
      <c r="N33" s="16">
        <f t="shared" si="12"/>
        <v>-61558.212819933884</v>
      </c>
      <c r="O33" s="18"/>
    </row>
    <row r="34" spans="1:15">
      <c r="A34" s="14">
        <v>7</v>
      </c>
      <c r="B34" s="15" t="s">
        <v>50</v>
      </c>
      <c r="C34" s="16">
        <v>645747</v>
      </c>
      <c r="D34" s="17">
        <f t="shared" si="6"/>
        <v>3.3568905052867568E-2</v>
      </c>
      <c r="E34" s="16">
        <v>83898.425000000003</v>
      </c>
      <c r="F34" s="16">
        <v>54190.927000000003</v>
      </c>
      <c r="G34" s="16">
        <f t="shared" si="13"/>
        <v>29707.498</v>
      </c>
      <c r="H34" s="16">
        <f t="shared" si="7"/>
        <v>675454.49800000002</v>
      </c>
      <c r="I34" s="16">
        <v>11658609</v>
      </c>
      <c r="J34" s="16">
        <f t="shared" si="8"/>
        <v>4648.1468758408482</v>
      </c>
      <c r="K34" s="16">
        <f t="shared" si="9"/>
        <v>2548.1168465294618</v>
      </c>
      <c r="L34" s="16">
        <f t="shared" si="10"/>
        <v>57936.113819410188</v>
      </c>
      <c r="M34" s="16">
        <f t="shared" si="11"/>
        <v>-4649.3339380354955</v>
      </c>
      <c r="N34" s="16">
        <f t="shared" si="12"/>
        <v>-60037.330910916222</v>
      </c>
      <c r="O34" s="18"/>
    </row>
    <row r="35" spans="1:15">
      <c r="A35" s="14">
        <v>8</v>
      </c>
      <c r="B35" s="15" t="s">
        <v>51</v>
      </c>
      <c r="C35" s="16">
        <v>602069</v>
      </c>
      <c r="D35" s="17">
        <f t="shared" si="6"/>
        <v>3.1298321318217387E-2</v>
      </c>
      <c r="E35" s="16">
        <v>73713.861999999994</v>
      </c>
      <c r="F35" s="16">
        <v>206304.22700000001</v>
      </c>
      <c r="G35" s="16">
        <f t="shared" si="13"/>
        <v>-132590.36500000002</v>
      </c>
      <c r="H35" s="16">
        <f t="shared" si="7"/>
        <v>469478.63500000001</v>
      </c>
      <c r="I35" s="16">
        <v>9005644</v>
      </c>
      <c r="J35" s="16">
        <f t="shared" si="8"/>
        <v>22908.325823228188</v>
      </c>
      <c r="K35" s="16">
        <f t="shared" si="9"/>
        <v>-14723.0298021996</v>
      </c>
      <c r="L35" s="16">
        <f t="shared" si="10"/>
        <v>52131.600471881859</v>
      </c>
      <c r="M35" s="16">
        <f t="shared" si="11"/>
        <v>-10453.847285563825</v>
      </c>
      <c r="N35" s="16">
        <f t="shared" si="12"/>
        <v>-77308.477559645282</v>
      </c>
      <c r="O35" s="18"/>
    </row>
    <row r="36" spans="1:15">
      <c r="A36" s="14">
        <v>9</v>
      </c>
      <c r="B36" s="15" t="s">
        <v>52</v>
      </c>
      <c r="C36" s="16">
        <v>563608</v>
      </c>
      <c r="D36" s="17">
        <f t="shared" si="6"/>
        <v>2.9298941286659611E-2</v>
      </c>
      <c r="E36" s="16">
        <f>55185.998+2646.168</f>
        <v>57832.165999999997</v>
      </c>
      <c r="F36" s="16">
        <f>32574.479+951.903</f>
        <v>33526.381999999998</v>
      </c>
      <c r="G36" s="16">
        <f t="shared" si="13"/>
        <v>24305.784</v>
      </c>
      <c r="H36" s="16">
        <f t="shared" si="7"/>
        <v>587913.78399999999</v>
      </c>
      <c r="I36" s="16">
        <v>10429379</v>
      </c>
      <c r="J36" s="16">
        <f t="shared" si="8"/>
        <v>3214.6096138609973</v>
      </c>
      <c r="K36" s="16">
        <f t="shared" si="9"/>
        <v>2330.5111454862267</v>
      </c>
      <c r="L36" s="16">
        <f t="shared" si="10"/>
        <v>56370.92908408065</v>
      </c>
      <c r="M36" s="16">
        <f t="shared" si="11"/>
        <v>-6214.5186733650335</v>
      </c>
      <c r="N36" s="16">
        <f t="shared" si="12"/>
        <v>-60254.936611959456</v>
      </c>
      <c r="O36" s="18"/>
    </row>
    <row r="37" spans="1:15">
      <c r="A37" s="14">
        <v>10</v>
      </c>
      <c r="B37" s="15" t="s">
        <v>71</v>
      </c>
      <c r="C37" s="16">
        <v>542979</v>
      </c>
      <c r="D37" s="17">
        <f t="shared" si="6"/>
        <v>2.82265507957466E-2</v>
      </c>
      <c r="E37" s="16">
        <v>38913</v>
      </c>
      <c r="F37" s="16">
        <v>96218</v>
      </c>
      <c r="G37" s="16">
        <f t="shared" si="13"/>
        <v>-57305</v>
      </c>
      <c r="H37" s="16">
        <f t="shared" si="7"/>
        <v>485674</v>
      </c>
      <c r="I37" s="16">
        <v>6859819</v>
      </c>
      <c r="J37" s="16">
        <f t="shared" si="8"/>
        <v>14026.317604006754</v>
      </c>
      <c r="K37" s="16">
        <f t="shared" si="9"/>
        <v>-8353.7189538091316</v>
      </c>
      <c r="L37" s="16">
        <f t="shared" si="10"/>
        <v>70799.827225762085</v>
      </c>
      <c r="M37" s="16">
        <f t="shared" si="11"/>
        <v>8214.3794683164015</v>
      </c>
      <c r="N37" s="16">
        <f t="shared" si="12"/>
        <v>-70939.166711254817</v>
      </c>
      <c r="O37" s="18"/>
    </row>
    <row r="38" spans="1:15">
      <c r="A38" s="14">
        <v>11</v>
      </c>
      <c r="B38" s="15" t="s">
        <v>70</v>
      </c>
      <c r="C38" s="16">
        <v>540497</v>
      </c>
      <c r="D38" s="17">
        <f t="shared" si="6"/>
        <v>2.8097524997188931E-2</v>
      </c>
      <c r="E38" s="16">
        <f>69711+1805</f>
        <v>71516</v>
      </c>
      <c r="F38" s="16">
        <f>15955+144</f>
        <v>16099</v>
      </c>
      <c r="G38" s="16">
        <f t="shared" si="13"/>
        <v>55417</v>
      </c>
      <c r="H38" s="16">
        <f t="shared" si="7"/>
        <v>595914</v>
      </c>
      <c r="I38" s="16">
        <v>10273419</v>
      </c>
      <c r="J38" s="16">
        <f t="shared" si="8"/>
        <v>1567.0537724588085</v>
      </c>
      <c r="K38" s="16">
        <f t="shared" si="9"/>
        <v>5394.2119950524748</v>
      </c>
      <c r="L38" s="16">
        <f t="shared" si="10"/>
        <v>58005.421564135562</v>
      </c>
      <c r="M38" s="16">
        <f t="shared" si="11"/>
        <v>-4580.026193310121</v>
      </c>
      <c r="N38" s="16">
        <f t="shared" si="12"/>
        <v>-57191.235762393211</v>
      </c>
      <c r="O38" s="18"/>
    </row>
    <row r="39" spans="1:15">
      <c r="A39" s="14">
        <v>12</v>
      </c>
      <c r="B39" s="15" t="s">
        <v>74</v>
      </c>
      <c r="C39" s="16">
        <v>524323</v>
      </c>
      <c r="D39" s="17">
        <f t="shared" si="6"/>
        <v>2.7256725937611297E-2</v>
      </c>
      <c r="E39" s="16">
        <v>97968</v>
      </c>
      <c r="F39" s="16">
        <f>73736+244</f>
        <v>73980</v>
      </c>
      <c r="G39" s="16">
        <f t="shared" si="13"/>
        <v>23988</v>
      </c>
      <c r="H39" s="16">
        <f t="shared" si="7"/>
        <v>548311</v>
      </c>
      <c r="I39" s="16">
        <v>7405743</v>
      </c>
      <c r="J39" s="16">
        <f t="shared" si="8"/>
        <v>9989.5446007240589</v>
      </c>
      <c r="K39" s="16">
        <f t="shared" si="9"/>
        <v>3239.1078113296667</v>
      </c>
      <c r="L39" s="16">
        <f t="shared" si="10"/>
        <v>74038.621107969855</v>
      </c>
      <c r="M39" s="16">
        <f t="shared" si="11"/>
        <v>11453.173350524172</v>
      </c>
      <c r="N39" s="16">
        <f t="shared" si="12"/>
        <v>-59346.339946116015</v>
      </c>
      <c r="O39" s="18"/>
    </row>
    <row r="40" spans="1:15">
      <c r="A40" s="14">
        <v>13</v>
      </c>
      <c r="B40" s="15" t="s">
        <v>77</v>
      </c>
      <c r="C40" s="16">
        <v>510586</v>
      </c>
      <c r="D40" s="17">
        <f t="shared" si="6"/>
        <v>2.6542613369204101E-2</v>
      </c>
      <c r="E40" s="16">
        <v>47693</v>
      </c>
      <c r="F40" s="16">
        <v>24606</v>
      </c>
      <c r="G40" s="16">
        <f t="shared" si="13"/>
        <v>23087</v>
      </c>
      <c r="H40" s="16">
        <f t="shared" si="7"/>
        <v>533673</v>
      </c>
      <c r="I40" s="16">
        <v>8470020</v>
      </c>
      <c r="J40" s="16">
        <f t="shared" si="8"/>
        <v>2905.0698817712355</v>
      </c>
      <c r="K40" s="16">
        <f t="shared" si="9"/>
        <v>2725.7314622633712</v>
      </c>
      <c r="L40" s="16">
        <f t="shared" si="10"/>
        <v>63007.28923898645</v>
      </c>
      <c r="M40" s="16">
        <f t="shared" si="11"/>
        <v>421.84148154076684</v>
      </c>
      <c r="N40" s="16">
        <f t="shared" si="12"/>
        <v>-59859.716295182312</v>
      </c>
      <c r="O40" s="18"/>
    </row>
    <row r="41" spans="1:15">
      <c r="A41" s="14">
        <v>14</v>
      </c>
      <c r="B41" s="15" t="s">
        <v>79</v>
      </c>
      <c r="C41" s="16">
        <v>508905</v>
      </c>
      <c r="D41" s="17">
        <f t="shared" si="6"/>
        <v>2.6455227242139057E-2</v>
      </c>
      <c r="E41" s="16">
        <f>42732.851+971.504</f>
        <v>43704.355000000003</v>
      </c>
      <c r="F41" s="16">
        <f>23643.176+45.515</f>
        <v>23688.690999999999</v>
      </c>
      <c r="G41" s="16">
        <f t="shared" si="13"/>
        <v>20015.664000000004</v>
      </c>
      <c r="H41" s="16">
        <f t="shared" si="7"/>
        <v>528920.66399999999</v>
      </c>
      <c r="I41" s="16">
        <v>9962311</v>
      </c>
      <c r="J41" s="16">
        <f t="shared" si="8"/>
        <v>2377.8309069050342</v>
      </c>
      <c r="K41" s="16">
        <f t="shared" si="9"/>
        <v>2009.1386426302095</v>
      </c>
      <c r="L41" s="16">
        <f t="shared" si="10"/>
        <v>53092.165462411285</v>
      </c>
      <c r="M41" s="16">
        <f t="shared" si="11"/>
        <v>-9493.282295034398</v>
      </c>
      <c r="N41" s="16">
        <f t="shared" si="12"/>
        <v>-60576.309114815471</v>
      </c>
      <c r="O41" s="18"/>
    </row>
    <row r="42" spans="1:15">
      <c r="A42" s="14">
        <v>15</v>
      </c>
      <c r="B42" s="15" t="s">
        <v>80</v>
      </c>
      <c r="C42" s="16">
        <v>399538</v>
      </c>
      <c r="D42" s="17">
        <f t="shared" si="6"/>
        <v>2.0769826552833544E-2</v>
      </c>
      <c r="E42" s="16">
        <f>44504+6249</f>
        <v>50753</v>
      </c>
      <c r="F42" s="16">
        <f>51574+1686</f>
        <v>53260</v>
      </c>
      <c r="G42" s="16">
        <f t="shared" si="13"/>
        <v>-2507</v>
      </c>
      <c r="H42" s="16">
        <f t="shared" si="7"/>
        <v>397031</v>
      </c>
      <c r="I42" s="16">
        <v>6052177</v>
      </c>
      <c r="J42" s="16">
        <f t="shared" si="8"/>
        <v>8800.1391895841771</v>
      </c>
      <c r="K42" s="16">
        <f t="shared" si="9"/>
        <v>-414.2311105574077</v>
      </c>
      <c r="L42" s="16">
        <f t="shared" si="10"/>
        <v>65601.353033792635</v>
      </c>
      <c r="M42" s="16">
        <f t="shared" si="11"/>
        <v>3015.9052763469517</v>
      </c>
      <c r="N42" s="16">
        <f t="shared" si="12"/>
        <v>-62999.678868003088</v>
      </c>
      <c r="O42" s="18"/>
    </row>
    <row r="43" spans="1:15">
      <c r="A43" s="14">
        <v>16</v>
      </c>
      <c r="B43" s="15" t="s">
        <v>82</v>
      </c>
      <c r="C43" s="16">
        <v>352273</v>
      </c>
      <c r="D43" s="17">
        <f t="shared" si="6"/>
        <v>1.8312774027117146E-2</v>
      </c>
      <c r="E43" s="16">
        <f>28094+1660</f>
        <v>29754</v>
      </c>
      <c r="F43" s="16">
        <f>17912+31</f>
        <v>17943</v>
      </c>
      <c r="G43" s="16">
        <f t="shared" si="13"/>
        <v>11811</v>
      </c>
      <c r="H43" s="16">
        <f t="shared" si="7"/>
        <v>364084</v>
      </c>
      <c r="I43" s="16">
        <v>6666818</v>
      </c>
      <c r="J43" s="16">
        <f t="shared" si="8"/>
        <v>2691.3889054718456</v>
      </c>
      <c r="K43" s="16">
        <f t="shared" si="9"/>
        <v>1771.6097844578928</v>
      </c>
      <c r="L43" s="16">
        <f t="shared" si="10"/>
        <v>54611.360322120687</v>
      </c>
      <c r="M43" s="16">
        <f t="shared" si="11"/>
        <v>-7974.0874353249965</v>
      </c>
      <c r="N43" s="16">
        <f t="shared" si="12"/>
        <v>-60813.837972987792</v>
      </c>
      <c r="O43" s="18"/>
    </row>
    <row r="44" spans="1:15">
      <c r="A44" s="14">
        <v>17</v>
      </c>
      <c r="B44" s="15" t="s">
        <v>84</v>
      </c>
      <c r="C44" s="16">
        <v>350179</v>
      </c>
      <c r="D44" s="17">
        <f t="shared" si="6"/>
        <v>1.8203918256698228E-2</v>
      </c>
      <c r="E44" s="16">
        <f>39866+9404</f>
        <v>49270</v>
      </c>
      <c r="F44" s="16">
        <f>31176+1645</f>
        <v>32821</v>
      </c>
      <c r="G44" s="16">
        <f t="shared" si="13"/>
        <v>16449</v>
      </c>
      <c r="H44" s="16">
        <f t="shared" si="7"/>
        <v>366628</v>
      </c>
      <c r="I44" s="16">
        <v>5576606</v>
      </c>
      <c r="J44" s="16">
        <f t="shared" si="8"/>
        <v>5885.4794475349345</v>
      </c>
      <c r="K44" s="16">
        <f t="shared" si="9"/>
        <v>2949.6435645623878</v>
      </c>
      <c r="L44" s="16">
        <f t="shared" si="10"/>
        <v>65743.930985979649</v>
      </c>
      <c r="M44" s="16">
        <f t="shared" si="11"/>
        <v>3158.4832285339653</v>
      </c>
      <c r="N44" s="16">
        <f t="shared" si="12"/>
        <v>-59635.804192883297</v>
      </c>
      <c r="O44" s="18"/>
    </row>
    <row r="45" spans="1:15">
      <c r="A45" s="14">
        <v>18</v>
      </c>
      <c r="B45" s="15" t="s">
        <v>88</v>
      </c>
      <c r="C45" s="16">
        <v>349569</v>
      </c>
      <c r="D45" s="17">
        <f t="shared" si="6"/>
        <v>1.8172207645449166E-2</v>
      </c>
      <c r="E45" s="16">
        <f>42124+694</f>
        <v>42818</v>
      </c>
      <c r="F45" s="16">
        <f>6955+82</f>
        <v>7037</v>
      </c>
      <c r="G45" s="16">
        <f t="shared" si="13"/>
        <v>35781</v>
      </c>
      <c r="H45" s="16">
        <f t="shared" si="7"/>
        <v>385350</v>
      </c>
      <c r="I45" s="16">
        <v>6715984</v>
      </c>
      <c r="J45" s="16">
        <f t="shared" si="8"/>
        <v>1047.7988035707053</v>
      </c>
      <c r="K45" s="16">
        <f t="shared" si="9"/>
        <v>5327.7375288565308</v>
      </c>
      <c r="L45" s="16">
        <f t="shared" si="10"/>
        <v>57378.040209744395</v>
      </c>
      <c r="M45" s="16">
        <f t="shared" si="11"/>
        <v>-5207.4075477012884</v>
      </c>
      <c r="N45" s="16">
        <f t="shared" si="12"/>
        <v>-57257.710228589152</v>
      </c>
      <c r="O45" s="18"/>
    </row>
    <row r="46" spans="1:15">
      <c r="A46" s="14">
        <v>19</v>
      </c>
      <c r="B46" s="15" t="s">
        <v>90</v>
      </c>
      <c r="C46" s="16">
        <v>345233</v>
      </c>
      <c r="D46" s="17">
        <f t="shared" si="6"/>
        <v>1.7946802382537787E-2</v>
      </c>
      <c r="E46" s="16">
        <f>37447+5836</f>
        <v>43283</v>
      </c>
      <c r="F46" s="16">
        <f>29701+305</f>
        <v>30006</v>
      </c>
      <c r="G46" s="16">
        <f t="shared" si="13"/>
        <v>13277</v>
      </c>
      <c r="H46" s="16">
        <f t="shared" si="7"/>
        <v>358510</v>
      </c>
      <c r="I46" s="16">
        <v>5607154</v>
      </c>
      <c r="J46" s="16">
        <f t="shared" si="8"/>
        <v>5351.377900446465</v>
      </c>
      <c r="K46" s="16">
        <f t="shared" si="9"/>
        <v>2367.8679058930788</v>
      </c>
      <c r="L46" s="16">
        <f t="shared" si="10"/>
        <v>63937.962110546636</v>
      </c>
      <c r="M46" s="16">
        <f t="shared" si="11"/>
        <v>1352.5143531009526</v>
      </c>
      <c r="N46" s="16">
        <f t="shared" si="12"/>
        <v>-60217.579851552604</v>
      </c>
      <c r="O46" s="18"/>
    </row>
    <row r="47" spans="1:15">
      <c r="A47" s="14">
        <v>20</v>
      </c>
      <c r="B47" s="15" t="s">
        <v>92</v>
      </c>
      <c r="C47" s="16">
        <v>326446</v>
      </c>
      <c r="D47" s="17">
        <f t="shared" si="6"/>
        <v>1.6970167540675228E-2</v>
      </c>
      <c r="E47" s="16">
        <f>46961+1415</f>
        <v>48376</v>
      </c>
      <c r="F47" s="16">
        <f>21212+803</f>
        <v>22015</v>
      </c>
      <c r="G47" s="16">
        <f t="shared" si="13"/>
        <v>26361</v>
      </c>
      <c r="H47" s="16">
        <f t="shared" si="7"/>
        <v>352807</v>
      </c>
      <c r="I47" s="16">
        <v>7016270</v>
      </c>
      <c r="J47" s="16">
        <f t="shared" si="8"/>
        <v>3137.7070722762951</v>
      </c>
      <c r="K47" s="16">
        <f t="shared" si="9"/>
        <v>3757.1245120270455</v>
      </c>
      <c r="L47" s="16">
        <f t="shared" si="10"/>
        <v>50284.125325849775</v>
      </c>
      <c r="M47" s="16">
        <f t="shared" si="11"/>
        <v>-12301.322431595909</v>
      </c>
      <c r="N47" s="16">
        <f t="shared" si="12"/>
        <v>-58828.323245418636</v>
      </c>
      <c r="O47" s="18"/>
    </row>
    <row r="48" spans="1:15">
      <c r="A48" s="14">
        <v>21</v>
      </c>
      <c r="B48" s="15" t="s">
        <v>93</v>
      </c>
      <c r="C48" s="16">
        <v>321373</v>
      </c>
      <c r="D48" s="17">
        <f t="shared" si="6"/>
        <v>1.6706449621221947E-2</v>
      </c>
      <c r="E48" s="16">
        <f>45849+2151</f>
        <v>48000</v>
      </c>
      <c r="F48" s="16">
        <f>22639+755</f>
        <v>23394</v>
      </c>
      <c r="G48" s="16">
        <f t="shared" si="13"/>
        <v>24606</v>
      </c>
      <c r="H48" s="16">
        <f t="shared" si="7"/>
        <v>345979</v>
      </c>
      <c r="I48" s="16">
        <v>5795483</v>
      </c>
      <c r="J48" s="16">
        <f t="shared" si="8"/>
        <v>4036.5919458309168</v>
      </c>
      <c r="K48" s="16">
        <f t="shared" si="9"/>
        <v>4245.720330816258</v>
      </c>
      <c r="L48" s="16">
        <f t="shared" si="10"/>
        <v>59698.044149210684</v>
      </c>
      <c r="M48" s="16">
        <f t="shared" si="11"/>
        <v>-2887.4036082349994</v>
      </c>
      <c r="N48" s="16">
        <f t="shared" si="12"/>
        <v>-58339.727426629426</v>
      </c>
      <c r="O48" s="18"/>
    </row>
    <row r="49" spans="1:15">
      <c r="A49" s="14">
        <v>22</v>
      </c>
      <c r="B49" s="15" t="s">
        <v>95</v>
      </c>
      <c r="C49" s="16">
        <v>303763</v>
      </c>
      <c r="D49" s="17">
        <f t="shared" si="6"/>
        <v>1.5791000663687497E-2</v>
      </c>
      <c r="E49" s="16">
        <f>42082+1853</f>
        <v>43935</v>
      </c>
      <c r="F49" s="16">
        <f>14702+162</f>
        <v>14864</v>
      </c>
      <c r="G49" s="16">
        <f t="shared" si="13"/>
        <v>29071</v>
      </c>
      <c r="H49" s="16">
        <f t="shared" si="7"/>
        <v>332834</v>
      </c>
      <c r="I49" s="16">
        <v>6113532</v>
      </c>
      <c r="J49" s="16">
        <f t="shared" si="8"/>
        <v>2431.3277496543733</v>
      </c>
      <c r="K49" s="16">
        <f t="shared" si="9"/>
        <v>4755.1889807724892</v>
      </c>
      <c r="L49" s="16">
        <f t="shared" si="10"/>
        <v>54442.178433023662</v>
      </c>
      <c r="M49" s="16">
        <f t="shared" si="11"/>
        <v>-8143.2693244220209</v>
      </c>
      <c r="N49" s="16">
        <f t="shared" si="12"/>
        <v>-57830.258776673196</v>
      </c>
      <c r="O49" s="18"/>
    </row>
    <row r="50" spans="1:15">
      <c r="A50" s="14">
        <v>23</v>
      </c>
      <c r="B50" s="15" t="s">
        <v>97</v>
      </c>
      <c r="C50" s="16">
        <v>264510</v>
      </c>
      <c r="D50" s="17">
        <f t="shared" si="6"/>
        <v>1.3750448822114543E-2</v>
      </c>
      <c r="E50" s="16">
        <f>30091+11198</f>
        <v>41289</v>
      </c>
      <c r="F50" s="16">
        <f>79618+331</f>
        <v>79949</v>
      </c>
      <c r="G50" s="16">
        <f t="shared" si="13"/>
        <v>-38660</v>
      </c>
      <c r="H50" s="16">
        <f t="shared" si="7"/>
        <v>225850</v>
      </c>
      <c r="I50" s="16">
        <v>3588184</v>
      </c>
      <c r="J50" s="16">
        <f t="shared" si="8"/>
        <v>22281.187363858709</v>
      </c>
      <c r="K50" s="16">
        <f t="shared" si="9"/>
        <v>-10774.252379476638</v>
      </c>
      <c r="L50" s="16">
        <f t="shared" si="10"/>
        <v>62942.703049787859</v>
      </c>
      <c r="M50" s="16">
        <f t="shared" si="11"/>
        <v>357.25529234217538</v>
      </c>
      <c r="N50" s="16">
        <f t="shared" si="12"/>
        <v>-73359.700136922329</v>
      </c>
      <c r="O50" s="18"/>
    </row>
    <row r="51" spans="1:15">
      <c r="A51" s="14">
        <v>24</v>
      </c>
      <c r="B51" s="15" t="s">
        <v>100</v>
      </c>
      <c r="C51" s="16">
        <v>235960</v>
      </c>
      <c r="D51" s="17">
        <f t="shared" si="6"/>
        <v>1.2266288246441147E-2</v>
      </c>
      <c r="E51" s="16">
        <f>30817+2207</f>
        <v>33024</v>
      </c>
      <c r="F51" s="16">
        <f>26286+395</f>
        <v>26681</v>
      </c>
      <c r="G51" s="16">
        <f t="shared" si="13"/>
        <v>6343</v>
      </c>
      <c r="H51" s="16">
        <f t="shared" si="7"/>
        <v>242303</v>
      </c>
      <c r="I51" s="16">
        <v>4684333</v>
      </c>
      <c r="J51" s="16">
        <f t="shared" si="8"/>
        <v>5695.7948975873405</v>
      </c>
      <c r="K51" s="16">
        <f t="shared" si="9"/>
        <v>1354.0881914244781</v>
      </c>
      <c r="L51" s="16">
        <f t="shared" si="10"/>
        <v>51726.254303440852</v>
      </c>
      <c r="M51" s="16">
        <f t="shared" si="11"/>
        <v>-10859.193454004831</v>
      </c>
      <c r="N51" s="16">
        <f t="shared" si="12"/>
        <v>-61231.359566021209</v>
      </c>
      <c r="O51" s="18"/>
    </row>
    <row r="52" spans="1:15">
      <c r="A52" s="14">
        <v>25</v>
      </c>
      <c r="B52" s="15" t="s">
        <v>102</v>
      </c>
      <c r="C52" s="16">
        <v>227155</v>
      </c>
      <c r="D52" s="17">
        <f t="shared" si="6"/>
        <v>1.1808563767673922E-2</v>
      </c>
      <c r="E52" s="16">
        <f>34648+1809</f>
        <v>36457</v>
      </c>
      <c r="F52" s="16">
        <f>19303+35</f>
        <v>19338</v>
      </c>
      <c r="G52" s="16">
        <f t="shared" si="13"/>
        <v>17119</v>
      </c>
      <c r="H52" s="16">
        <f t="shared" si="7"/>
        <v>244274</v>
      </c>
      <c r="I52" s="16">
        <v>4142776</v>
      </c>
      <c r="J52" s="16">
        <f t="shared" si="8"/>
        <v>4667.884529600442</v>
      </c>
      <c r="K52" s="16">
        <f t="shared" si="9"/>
        <v>4132.2533489621455</v>
      </c>
      <c r="L52" s="16">
        <f t="shared" si="10"/>
        <v>58963.844533230855</v>
      </c>
      <c r="M52" s="16">
        <f t="shared" si="11"/>
        <v>-3621.6032242148285</v>
      </c>
      <c r="N52" s="16">
        <f t="shared" si="12"/>
        <v>-58453.194408483541</v>
      </c>
      <c r="O52" s="18"/>
    </row>
    <row r="53" spans="1:15">
      <c r="A53" s="14">
        <v>26</v>
      </c>
      <c r="B53" s="15" t="s">
        <v>104</v>
      </c>
      <c r="C53" s="16">
        <v>221690</v>
      </c>
      <c r="D53" s="17">
        <f t="shared" si="6"/>
        <v>1.1524467881647474E-2</v>
      </c>
      <c r="E53" s="16">
        <f>29956+780</f>
        <v>30736</v>
      </c>
      <c r="F53" s="16">
        <f>10884+93</f>
        <v>10977</v>
      </c>
      <c r="G53" s="16">
        <f t="shared" si="13"/>
        <v>19759</v>
      </c>
      <c r="H53" s="16">
        <f t="shared" si="7"/>
        <v>241449</v>
      </c>
      <c r="I53" s="16">
        <v>5024369</v>
      </c>
      <c r="J53" s="16">
        <f t="shared" si="8"/>
        <v>2184.7519559172506</v>
      </c>
      <c r="K53" s="16">
        <f t="shared" si="9"/>
        <v>3932.6331326381483</v>
      </c>
      <c r="L53" s="16">
        <f t="shared" si="10"/>
        <v>48055.586681631066</v>
      </c>
      <c r="M53" s="16">
        <f t="shared" si="11"/>
        <v>-14529.861075814617</v>
      </c>
      <c r="N53" s="16">
        <f t="shared" si="12"/>
        <v>-58652.814624807535</v>
      </c>
      <c r="O53" s="18"/>
    </row>
    <row r="54" spans="1:15">
      <c r="A54" s="14">
        <v>27</v>
      </c>
      <c r="B54" s="15" t="s">
        <v>105</v>
      </c>
      <c r="C54" s="16">
        <v>211196</v>
      </c>
      <c r="D54" s="17">
        <f t="shared" si="6"/>
        <v>1.0978941398946366E-2</v>
      </c>
      <c r="E54" s="16">
        <f>34174.4+568</f>
        <v>34742.400000000001</v>
      </c>
      <c r="F54" s="16">
        <f>13204+53</f>
        <v>13257</v>
      </c>
      <c r="G54" s="16">
        <f t="shared" si="13"/>
        <v>21485.4</v>
      </c>
      <c r="H54" s="16">
        <f t="shared" si="7"/>
        <v>232681.4</v>
      </c>
      <c r="I54" s="16">
        <v>4874747</v>
      </c>
      <c r="J54" s="16">
        <f t="shared" si="8"/>
        <v>2719.5257517979908</v>
      </c>
      <c r="K54" s="16">
        <f t="shared" si="9"/>
        <v>4407.4902759056013</v>
      </c>
      <c r="L54" s="16">
        <f t="shared" si="10"/>
        <v>47731.995116874787</v>
      </c>
      <c r="M54" s="16">
        <f t="shared" si="11"/>
        <v>-14853.452640570897</v>
      </c>
      <c r="N54" s="16">
        <f t="shared" si="12"/>
        <v>-58177.957481540085</v>
      </c>
      <c r="O54" s="18"/>
    </row>
    <row r="55" spans="1:15">
      <c r="A55" s="14">
        <v>28</v>
      </c>
      <c r="B55" s="15" t="s">
        <v>107</v>
      </c>
      <c r="C55" s="16">
        <v>202175</v>
      </c>
      <c r="D55" s="17">
        <f t="shared" si="6"/>
        <v>1.0509988244720455E-2</v>
      </c>
      <c r="E55" s="16">
        <f>32670+7731</f>
        <v>40401</v>
      </c>
      <c r="F55" s="16">
        <f>55563+603</f>
        <v>56166</v>
      </c>
      <c r="G55" s="16">
        <f t="shared" si="13"/>
        <v>-15765</v>
      </c>
      <c r="H55" s="16">
        <f t="shared" si="7"/>
        <v>186410</v>
      </c>
      <c r="I55" s="16">
        <v>4454189</v>
      </c>
      <c r="J55" s="16">
        <f t="shared" si="8"/>
        <v>12609.702911124787</v>
      </c>
      <c r="K55" s="16">
        <f t="shared" si="9"/>
        <v>-3539.3648540733229</v>
      </c>
      <c r="L55" s="16">
        <f t="shared" si="10"/>
        <v>41850.491750574569</v>
      </c>
      <c r="M55" s="16">
        <f t="shared" si="11"/>
        <v>-20734.956006871114</v>
      </c>
      <c r="N55" s="16">
        <f t="shared" si="12"/>
        <v>-66124.81261151901</v>
      </c>
      <c r="O55" s="18"/>
    </row>
    <row r="56" spans="1:15">
      <c r="A56" s="14">
        <v>29</v>
      </c>
      <c r="B56" s="15" t="s">
        <v>110</v>
      </c>
      <c r="C56" s="16">
        <v>188632</v>
      </c>
      <c r="D56" s="17">
        <f t="shared" si="6"/>
        <v>9.8059606903826337E-3</v>
      </c>
      <c r="E56" s="16">
        <f>23470+1102</f>
        <v>24572</v>
      </c>
      <c r="F56" s="16">
        <f>5380+325</f>
        <v>5705</v>
      </c>
      <c r="G56" s="16">
        <f t="shared" si="13"/>
        <v>18867</v>
      </c>
      <c r="H56" s="16">
        <f t="shared" si="7"/>
        <v>207499</v>
      </c>
      <c r="I56" s="16">
        <v>3930864</v>
      </c>
      <c r="J56" s="16">
        <f t="shared" si="8"/>
        <v>1451.3348719263754</v>
      </c>
      <c r="K56" s="16">
        <f t="shared" si="9"/>
        <v>4799.7081557642286</v>
      </c>
      <c r="L56" s="16">
        <f t="shared" si="10"/>
        <v>52787.122627493598</v>
      </c>
      <c r="M56" s="16">
        <f t="shared" si="11"/>
        <v>-9798.3251299520853</v>
      </c>
      <c r="N56" s="16">
        <f t="shared" si="12"/>
        <v>-57785.739601681453</v>
      </c>
      <c r="O56" s="18"/>
    </row>
    <row r="57" spans="1:15">
      <c r="A57" s="14">
        <v>30</v>
      </c>
      <c r="B57" s="15" t="s">
        <v>112</v>
      </c>
      <c r="C57" s="16">
        <v>183930</v>
      </c>
      <c r="D57" s="17">
        <f t="shared" si="6"/>
        <v>9.5615290607218174E-3</v>
      </c>
      <c r="E57" s="16">
        <f>24676.1+481.1</f>
        <v>25157.199999999997</v>
      </c>
      <c r="F57" s="16">
        <f>8373+109.6</f>
        <v>8482.6</v>
      </c>
      <c r="G57" s="16">
        <f t="shared" si="13"/>
        <v>16674.599999999999</v>
      </c>
      <c r="H57" s="16">
        <f t="shared" si="7"/>
        <v>200604.6</v>
      </c>
      <c r="I57" s="16">
        <v>3145711</v>
      </c>
      <c r="J57" s="16">
        <f t="shared" si="8"/>
        <v>2696.5604914119576</v>
      </c>
      <c r="K57" s="16">
        <f t="shared" si="9"/>
        <v>5300.7412314735839</v>
      </c>
      <c r="L57" s="16">
        <f t="shared" si="10"/>
        <v>63770.829551729323</v>
      </c>
      <c r="M57" s="16">
        <f t="shared" si="11"/>
        <v>1185.3817942836395</v>
      </c>
      <c r="N57" s="16">
        <f t="shared" si="12"/>
        <v>-57284.706525972098</v>
      </c>
      <c r="O57" s="18"/>
    </row>
    <row r="58" spans="1:15">
      <c r="A58" s="14">
        <v>31</v>
      </c>
      <c r="B58" s="15" t="s">
        <v>115</v>
      </c>
      <c r="C58" s="16">
        <v>164917</v>
      </c>
      <c r="D58" s="17">
        <f t="shared" si="6"/>
        <v>8.5731456973145211E-3</v>
      </c>
      <c r="E58" s="16">
        <f>31569.361+457.284</f>
        <v>32026.645</v>
      </c>
      <c r="F58" s="16">
        <f>7060.615+166.502</f>
        <v>7227.1170000000002</v>
      </c>
      <c r="G58" s="16">
        <f t="shared" si="13"/>
        <v>24799.527999999998</v>
      </c>
      <c r="H58" s="16">
        <f t="shared" si="7"/>
        <v>189716.52799999999</v>
      </c>
      <c r="I58" s="16">
        <v>3101833</v>
      </c>
      <c r="J58" s="16">
        <f t="shared" si="8"/>
        <v>2329.9503873999665</v>
      </c>
      <c r="K58" s="16">
        <f t="shared" si="9"/>
        <v>7995.1203046714636</v>
      </c>
      <c r="L58" s="16">
        <f t="shared" si="10"/>
        <v>61162.715078471345</v>
      </c>
      <c r="M58" s="16">
        <f t="shared" si="11"/>
        <v>-1422.7326789743383</v>
      </c>
      <c r="N58" s="16">
        <f t="shared" si="12"/>
        <v>-54590.327452774218</v>
      </c>
      <c r="O58" s="18"/>
    </row>
    <row r="59" spans="1:15">
      <c r="A59" s="14">
        <v>32</v>
      </c>
      <c r="B59" s="15" t="s">
        <v>119</v>
      </c>
      <c r="C59" s="16">
        <v>159108</v>
      </c>
      <c r="D59" s="17">
        <f t="shared" si="6"/>
        <v>8.2711671059279446E-3</v>
      </c>
      <c r="E59" s="16">
        <f>17683.432+459.273</f>
        <v>18142.705000000002</v>
      </c>
      <c r="F59" s="16">
        <f>8885.769+150.814</f>
        <v>9036.5830000000005</v>
      </c>
      <c r="G59" s="16">
        <f t="shared" si="13"/>
        <v>9106.1220000000012</v>
      </c>
      <c r="H59" s="16">
        <f t="shared" si="7"/>
        <v>168214.122</v>
      </c>
      <c r="I59" s="16">
        <v>2913123</v>
      </c>
      <c r="J59" s="16">
        <f t="shared" si="8"/>
        <v>3102.025901412333</v>
      </c>
      <c r="K59" s="16">
        <f t="shared" si="9"/>
        <v>3125.8968467860786</v>
      </c>
      <c r="L59" s="16">
        <f t="shared" si="10"/>
        <v>57743.570044931163</v>
      </c>
      <c r="M59" s="16">
        <f t="shared" si="11"/>
        <v>-4841.8777125145207</v>
      </c>
      <c r="N59" s="16">
        <f t="shared" si="12"/>
        <v>-59459.550910659607</v>
      </c>
      <c r="O59" s="18"/>
    </row>
    <row r="60" spans="1:15">
      <c r="A60" s="14">
        <v>33</v>
      </c>
      <c r="B60" s="15" t="s">
        <v>120</v>
      </c>
      <c r="C60" s="16">
        <v>158302</v>
      </c>
      <c r="D60" s="17">
        <f t="shared" ref="D60:D77" si="14">C60/$C$78</f>
        <v>8.2292675113922967E-3</v>
      </c>
      <c r="E60" s="16">
        <f>14207.763+435.381</f>
        <v>14643.144</v>
      </c>
      <c r="F60" s="16">
        <f>7525.889+183.889</f>
        <v>7709.7780000000002</v>
      </c>
      <c r="G60" s="16">
        <f t="shared" si="13"/>
        <v>6933.366</v>
      </c>
      <c r="H60" s="16">
        <f t="shared" si="7"/>
        <v>165235.36600000001</v>
      </c>
      <c r="I60" s="16">
        <v>2998039</v>
      </c>
      <c r="J60" s="16">
        <f t="shared" si="8"/>
        <v>2571.6069737585135</v>
      </c>
      <c r="K60" s="16">
        <f t="shared" si="9"/>
        <v>2312.6336915563807</v>
      </c>
      <c r="L60" s="16">
        <f t="shared" si="10"/>
        <v>55114.481832958147</v>
      </c>
      <c r="M60" s="16">
        <f t="shared" si="11"/>
        <v>-7470.9659244875365</v>
      </c>
      <c r="N60" s="16">
        <f t="shared" si="12"/>
        <v>-60272.814065889303</v>
      </c>
      <c r="O60" s="18"/>
    </row>
    <row r="61" spans="1:15">
      <c r="A61" s="14">
        <v>34</v>
      </c>
      <c r="B61" s="15" t="s">
        <v>124</v>
      </c>
      <c r="C61" s="16">
        <v>122704</v>
      </c>
      <c r="D61" s="17">
        <f t="shared" si="14"/>
        <v>6.3787194142707008E-3</v>
      </c>
      <c r="E61" s="16">
        <f>25553.064+1619.778</f>
        <v>27172.841999999997</v>
      </c>
      <c r="F61" s="16">
        <f>11218.15+125.864</f>
        <v>11344.013999999999</v>
      </c>
      <c r="G61" s="16">
        <f t="shared" si="13"/>
        <v>15828.827999999998</v>
      </c>
      <c r="H61" s="16">
        <f t="shared" si="7"/>
        <v>138532.82800000001</v>
      </c>
      <c r="I61" s="16">
        <v>3004279</v>
      </c>
      <c r="J61" s="16">
        <f t="shared" si="8"/>
        <v>3775.9522334643352</v>
      </c>
      <c r="K61" s="16">
        <f t="shared" si="9"/>
        <v>5268.7609905737772</v>
      </c>
      <c r="L61" s="16">
        <f t="shared" si="10"/>
        <v>46111.838481046536</v>
      </c>
      <c r="M61" s="16">
        <f t="shared" si="11"/>
        <v>-16473.609276399147</v>
      </c>
      <c r="N61" s="16">
        <f t="shared" si="12"/>
        <v>-57316.686766871906</v>
      </c>
      <c r="O61" s="18"/>
    </row>
    <row r="62" spans="1:15">
      <c r="A62" s="14">
        <v>35</v>
      </c>
      <c r="B62" s="15" t="s">
        <v>127</v>
      </c>
      <c r="C62" s="16">
        <v>119588</v>
      </c>
      <c r="D62" s="17">
        <f t="shared" si="14"/>
        <v>6.2167353738574495E-3</v>
      </c>
      <c r="E62" s="16">
        <f>14930.775+310.291</f>
        <v>15241.065999999999</v>
      </c>
      <c r="F62" s="16">
        <f>2238.264+166.305</f>
        <v>2404.569</v>
      </c>
      <c r="G62" s="16">
        <f t="shared" si="13"/>
        <v>12836.496999999999</v>
      </c>
      <c r="H62" s="16">
        <f t="shared" si="7"/>
        <v>132424.497</v>
      </c>
      <c r="I62" s="16">
        <v>1920076</v>
      </c>
      <c r="J62" s="16">
        <f t="shared" si="8"/>
        <v>1252.3301160995711</v>
      </c>
      <c r="K62" s="16">
        <f t="shared" si="9"/>
        <v>6685.4108899856046</v>
      </c>
      <c r="L62" s="16">
        <f t="shared" si="10"/>
        <v>68968.36218982999</v>
      </c>
      <c r="M62" s="16">
        <f t="shared" si="11"/>
        <v>6382.9144323843066</v>
      </c>
      <c r="N62" s="16">
        <f t="shared" si="12"/>
        <v>-55900.036867460076</v>
      </c>
      <c r="O62" s="18"/>
    </row>
    <row r="63" spans="1:15">
      <c r="A63" s="14">
        <v>36</v>
      </c>
      <c r="B63" s="15" t="s">
        <v>132</v>
      </c>
      <c r="C63" s="16">
        <v>109375</v>
      </c>
      <c r="D63" s="17">
        <f t="shared" si="14"/>
        <v>5.6858165661743537E-3</v>
      </c>
      <c r="E63" s="16">
        <f>24713.017+821.604</f>
        <v>25534.620999999999</v>
      </c>
      <c r="F63" s="16">
        <f>11766.231+78.346</f>
        <v>11844.576999999999</v>
      </c>
      <c r="G63" s="16">
        <f t="shared" si="13"/>
        <v>13690.044</v>
      </c>
      <c r="H63" s="16">
        <f t="shared" si="7"/>
        <v>123065.04399999999</v>
      </c>
      <c r="I63" s="16">
        <v>2984100</v>
      </c>
      <c r="J63" s="16">
        <f t="shared" si="8"/>
        <v>3969.2292483495862</v>
      </c>
      <c r="K63" s="16">
        <f t="shared" si="9"/>
        <v>4587.6626118427666</v>
      </c>
      <c r="L63" s="16">
        <f t="shared" si="10"/>
        <v>41240.254683154053</v>
      </c>
      <c r="M63" s="16">
        <f t="shared" si="11"/>
        <v>-21345.19307429163</v>
      </c>
      <c r="N63" s="16">
        <f t="shared" si="12"/>
        <v>-57997.785145602917</v>
      </c>
      <c r="O63" s="18"/>
    </row>
    <row r="64" spans="1:15">
      <c r="A64" s="14">
        <v>37</v>
      </c>
      <c r="B64" s="15" t="s">
        <v>133</v>
      </c>
      <c r="C64" s="16">
        <v>94211</v>
      </c>
      <c r="D64" s="17">
        <f t="shared" si="14"/>
        <v>4.89752196128779E-3</v>
      </c>
      <c r="E64" s="16">
        <f>39818.775+1368.792</f>
        <v>41187.567000000003</v>
      </c>
      <c r="F64" s="16">
        <f>13088.54+90.509</f>
        <v>13179.049000000001</v>
      </c>
      <c r="G64" s="16">
        <f t="shared" si="13"/>
        <v>28008.518000000004</v>
      </c>
      <c r="H64" s="16">
        <f t="shared" si="7"/>
        <v>122219.51800000001</v>
      </c>
      <c r="I64" s="16">
        <v>2088070</v>
      </c>
      <c r="J64" s="16">
        <f t="shared" si="8"/>
        <v>6311.593481061459</v>
      </c>
      <c r="K64" s="16">
        <f t="shared" si="9"/>
        <v>13413.591498369309</v>
      </c>
      <c r="L64" s="16">
        <f t="shared" si="10"/>
        <v>58532.289626305639</v>
      </c>
      <c r="M64" s="16">
        <f t="shared" si="11"/>
        <v>-4053.1581311400441</v>
      </c>
      <c r="N64" s="16">
        <f t="shared" si="12"/>
        <v>-49171.856259076376</v>
      </c>
      <c r="O64" s="18"/>
    </row>
    <row r="65" spans="1:15">
      <c r="A65" s="14">
        <v>38</v>
      </c>
      <c r="B65" s="15" t="s">
        <v>149</v>
      </c>
      <c r="C65" s="16">
        <v>88448</v>
      </c>
      <c r="D65" s="17">
        <f t="shared" si="14"/>
        <v>4.5979346618970438E-3</v>
      </c>
      <c r="E65" s="16">
        <f>21560.25+2477.324</f>
        <v>24037.574000000001</v>
      </c>
      <c r="F65" s="16">
        <f>22857.899+115.278</f>
        <v>22973.177</v>
      </c>
      <c r="G65" s="16">
        <f t="shared" si="13"/>
        <v>1064.3970000000008</v>
      </c>
      <c r="H65" s="16">
        <f t="shared" si="7"/>
        <v>89512.396999999997</v>
      </c>
      <c r="I65" s="16">
        <v>1427538</v>
      </c>
      <c r="J65" s="16">
        <f t="shared" si="8"/>
        <v>16092.865478887426</v>
      </c>
      <c r="K65" s="16">
        <f t="shared" si="9"/>
        <v>745.61727954001981</v>
      </c>
      <c r="L65" s="16">
        <f t="shared" si="10"/>
        <v>62704.03800108999</v>
      </c>
      <c r="M65" s="16">
        <f t="shared" si="11"/>
        <v>118.59024364430661</v>
      </c>
      <c r="N65" s="16">
        <f t="shared" si="12"/>
        <v>-61839.830477905663</v>
      </c>
      <c r="O65" s="18"/>
    </row>
    <row r="66" spans="1:15">
      <c r="A66" s="14">
        <v>39</v>
      </c>
      <c r="B66" s="15" t="s">
        <v>150</v>
      </c>
      <c r="C66" s="16">
        <v>81650</v>
      </c>
      <c r="D66" s="17">
        <f t="shared" si="14"/>
        <v>4.2445432926001003E-3</v>
      </c>
      <c r="E66" s="16">
        <f>6993.276+308.273</f>
        <v>7301.549</v>
      </c>
      <c r="F66" s="16">
        <f>4668.441+42.136</f>
        <v>4710.5770000000002</v>
      </c>
      <c r="G66" s="16">
        <f t="shared" si="13"/>
        <v>2590.9719999999998</v>
      </c>
      <c r="H66" s="16">
        <f t="shared" si="7"/>
        <v>84240.971999999994</v>
      </c>
      <c r="I66" s="16">
        <v>1342795</v>
      </c>
      <c r="J66" s="16">
        <f t="shared" si="8"/>
        <v>3508.0388294564696</v>
      </c>
      <c r="K66" s="16">
        <f t="shared" si="9"/>
        <v>1929.5365264243608</v>
      </c>
      <c r="L66" s="16">
        <f t="shared" si="10"/>
        <v>62735.541910716078</v>
      </c>
      <c r="M66" s="16">
        <f t="shared" si="11"/>
        <v>150.0941532703946</v>
      </c>
      <c r="N66" s="16">
        <f t="shared" si="12"/>
        <v>-60655.911231021324</v>
      </c>
      <c r="O66" s="18"/>
    </row>
    <row r="67" spans="1:15">
      <c r="A67" s="14">
        <v>40</v>
      </c>
      <c r="B67" s="15" t="s">
        <v>151</v>
      </c>
      <c r="C67" s="16">
        <v>74047</v>
      </c>
      <c r="D67" s="17">
        <f t="shared" si="14"/>
        <v>3.8493043133761128E-3</v>
      </c>
      <c r="E67" s="16">
        <f>18019.583+1516.17</f>
        <v>19535.752999999997</v>
      </c>
      <c r="F67" s="16">
        <f>12204.733+293.152</f>
        <v>12497.885</v>
      </c>
      <c r="G67" s="16">
        <f t="shared" si="13"/>
        <v>7037.8679999999968</v>
      </c>
      <c r="H67" s="16">
        <f t="shared" si="7"/>
        <v>81084.868000000002</v>
      </c>
      <c r="I67" s="16">
        <v>1815857</v>
      </c>
      <c r="J67" s="16">
        <f t="shared" si="8"/>
        <v>6882.6372340993812</v>
      </c>
      <c r="K67" s="16">
        <f t="shared" si="9"/>
        <v>3875.7831701505115</v>
      </c>
      <c r="L67" s="16">
        <f t="shared" si="10"/>
        <v>44653.773948058682</v>
      </c>
      <c r="M67" s="16">
        <f t="shared" si="11"/>
        <v>-17931.673809387001</v>
      </c>
      <c r="N67" s="16">
        <f t="shared" si="12"/>
        <v>-58709.66458729517</v>
      </c>
      <c r="O67" s="18"/>
    </row>
    <row r="68" spans="1:15">
      <c r="A68" s="14">
        <v>41</v>
      </c>
      <c r="B68" s="15" t="s">
        <v>152</v>
      </c>
      <c r="C68" s="16">
        <v>72461</v>
      </c>
      <c r="D68" s="17">
        <f t="shared" si="14"/>
        <v>3.7668567241285469E-3</v>
      </c>
      <c r="E68" s="16">
        <f>11860.216+825.698</f>
        <v>12685.914000000001</v>
      </c>
      <c r="F68" s="16">
        <f>9962.503+95.241</f>
        <v>10057.744000000001</v>
      </c>
      <c r="G68" s="16">
        <f t="shared" si="13"/>
        <v>2628.17</v>
      </c>
      <c r="H68" s="16">
        <f t="shared" si="7"/>
        <v>75089.17</v>
      </c>
      <c r="I68" s="16">
        <v>961939</v>
      </c>
      <c r="J68" s="16">
        <f t="shared" si="8"/>
        <v>10455.698334301864</v>
      </c>
      <c r="K68" s="16">
        <f t="shared" si="9"/>
        <v>2732.1586919752708</v>
      </c>
      <c r="L68" s="16">
        <f t="shared" si="10"/>
        <v>78060.220034742335</v>
      </c>
      <c r="M68" s="16">
        <f t="shared" si="11"/>
        <v>15474.772277296652</v>
      </c>
      <c r="N68" s="16">
        <f t="shared" si="12"/>
        <v>-59853.28906547041</v>
      </c>
      <c r="O68" s="18"/>
    </row>
    <row r="69" spans="1:15">
      <c r="A69" s="14">
        <v>42</v>
      </c>
      <c r="B69" s="15" t="s">
        <v>153</v>
      </c>
      <c r="C69" s="16">
        <v>72294</v>
      </c>
      <c r="D69" s="17">
        <f t="shared" si="14"/>
        <v>3.7581752944915083E-3</v>
      </c>
      <c r="E69" s="16">
        <f>15448.792+263.963</f>
        <v>15712.754999999999</v>
      </c>
      <c r="F69" s="16">
        <f>2607.999+64.983</f>
        <v>2672.982</v>
      </c>
      <c r="G69" s="16">
        <f t="shared" si="13"/>
        <v>13039.772999999999</v>
      </c>
      <c r="H69" s="16">
        <f t="shared" si="7"/>
        <v>85333.773000000001</v>
      </c>
      <c r="I69" s="16">
        <v>1716943</v>
      </c>
      <c r="J69" s="16">
        <f t="shared" si="8"/>
        <v>1556.8262895157266</v>
      </c>
      <c r="K69" s="16">
        <f t="shared" si="9"/>
        <v>7594.7617364117505</v>
      </c>
      <c r="L69" s="16">
        <f t="shared" si="10"/>
        <v>49700.993568219797</v>
      </c>
      <c r="M69" s="16">
        <f t="shared" si="11"/>
        <v>-12884.454189225886</v>
      </c>
      <c r="N69" s="16">
        <f t="shared" si="12"/>
        <v>-54990.686021033936</v>
      </c>
      <c r="O69" s="18"/>
    </row>
    <row r="70" spans="1:15">
      <c r="A70" s="14">
        <v>43</v>
      </c>
      <c r="B70" s="15" t="s">
        <v>154</v>
      </c>
      <c r="C70" s="16">
        <v>61703</v>
      </c>
      <c r="D70" s="17">
        <f t="shared" si="14"/>
        <v>3.2076063047557133E-3</v>
      </c>
      <c r="E70" s="16">
        <f>7042.614+862.352</f>
        <v>7904.9659999999994</v>
      </c>
      <c r="F70" s="16">
        <f>5626.415+58.784</f>
        <v>5685.1989999999996</v>
      </c>
      <c r="G70" s="16">
        <f t="shared" si="13"/>
        <v>2219.7669999999998</v>
      </c>
      <c r="H70" s="16">
        <f t="shared" si="7"/>
        <v>63922.767</v>
      </c>
      <c r="I70" s="16">
        <v>1335907</v>
      </c>
      <c r="J70" s="16">
        <f t="shared" si="8"/>
        <v>4255.6847145796828</v>
      </c>
      <c r="K70" s="16">
        <f t="shared" si="9"/>
        <v>1661.6179120253132</v>
      </c>
      <c r="L70" s="16">
        <f t="shared" si="10"/>
        <v>47849.713340823873</v>
      </c>
      <c r="M70" s="16">
        <f t="shared" si="11"/>
        <v>-14735.73441662181</v>
      </c>
      <c r="N70" s="16">
        <f t="shared" si="12"/>
        <v>-60923.829845420369</v>
      </c>
      <c r="O70" s="18"/>
    </row>
    <row r="71" spans="1:15">
      <c r="A71" s="14">
        <v>44</v>
      </c>
      <c r="B71" s="15" t="s">
        <v>155</v>
      </c>
      <c r="C71" s="16">
        <v>59306</v>
      </c>
      <c r="D71" s="17">
        <f t="shared" si="14"/>
        <v>3.0829991979294739E-3</v>
      </c>
      <c r="E71" s="16">
        <f>7218.364+589.714</f>
        <v>7808.0779999999995</v>
      </c>
      <c r="F71" s="16">
        <f>7792.333+153.815</f>
        <v>7946.1479999999992</v>
      </c>
      <c r="G71" s="16">
        <f t="shared" si="13"/>
        <v>-138.06999999999971</v>
      </c>
      <c r="H71" s="16">
        <f t="shared" si="7"/>
        <v>59167.93</v>
      </c>
      <c r="I71" s="16">
        <v>1059639</v>
      </c>
      <c r="J71" s="16">
        <f t="shared" si="8"/>
        <v>7498.9199151786588</v>
      </c>
      <c r="K71" s="16">
        <f t="shared" si="9"/>
        <v>-130.29909242676015</v>
      </c>
      <c r="L71" s="16">
        <f t="shared" si="10"/>
        <v>55837.818351344184</v>
      </c>
      <c r="M71" s="16">
        <f t="shared" si="11"/>
        <v>-6747.6294061014996</v>
      </c>
      <c r="N71" s="16">
        <f t="shared" si="12"/>
        <v>-62715.746849872441</v>
      </c>
      <c r="O71" s="18"/>
    </row>
    <row r="72" spans="1:15">
      <c r="A72" s="14">
        <v>45</v>
      </c>
      <c r="B72" s="15" t="s">
        <v>156</v>
      </c>
      <c r="C72" s="16">
        <v>52527</v>
      </c>
      <c r="D72" s="17">
        <f t="shared" si="14"/>
        <v>2.7305955361960252E-3</v>
      </c>
      <c r="E72" s="16">
        <f>27516.261+210.31</f>
        <v>27726.571</v>
      </c>
      <c r="F72" s="16">
        <f>6944.557+63.379</f>
        <v>7007.9359999999997</v>
      </c>
      <c r="G72" s="16">
        <f t="shared" si="13"/>
        <v>20718.635000000002</v>
      </c>
      <c r="H72" s="16">
        <f t="shared" si="7"/>
        <v>73245.635000000009</v>
      </c>
      <c r="I72" s="16">
        <v>755393</v>
      </c>
      <c r="J72" s="16">
        <f t="shared" si="8"/>
        <v>9277.205375215286</v>
      </c>
      <c r="K72" s="16">
        <f t="shared" si="9"/>
        <v>27427.623766701578</v>
      </c>
      <c r="L72" s="16">
        <f t="shared" si="10"/>
        <v>96963.613642170385</v>
      </c>
      <c r="M72" s="16">
        <f t="shared" si="11"/>
        <v>34378.165884724702</v>
      </c>
      <c r="N72" s="16">
        <f t="shared" si="12"/>
        <v>-35157.823990744102</v>
      </c>
      <c r="O72" s="18"/>
    </row>
    <row r="73" spans="1:15">
      <c r="A73" s="14">
        <v>46</v>
      </c>
      <c r="B73" s="15" t="s">
        <v>157</v>
      </c>
      <c r="C73" s="16">
        <v>51479</v>
      </c>
      <c r="D73" s="17">
        <f t="shared" si="14"/>
        <v>2.6761156663779617E-3</v>
      </c>
      <c r="E73" s="16">
        <f>82065.056+930.963</f>
        <v>82996.019</v>
      </c>
      <c r="F73" s="16">
        <f>10748.07+250.928</f>
        <v>10998.998</v>
      </c>
      <c r="G73" s="16">
        <f t="shared" si="13"/>
        <v>71997.021000000008</v>
      </c>
      <c r="H73" s="16">
        <f t="shared" si="7"/>
        <v>123476.02100000001</v>
      </c>
      <c r="I73" s="16">
        <v>739795</v>
      </c>
      <c r="J73" s="16">
        <f t="shared" si="8"/>
        <v>14867.629546022885</v>
      </c>
      <c r="K73" s="16">
        <f t="shared" si="9"/>
        <v>97320.231956150034</v>
      </c>
      <c r="L73" s="16">
        <f t="shared" si="10"/>
        <v>166905.72523469341</v>
      </c>
      <c r="M73" s="16">
        <f t="shared" si="11"/>
        <v>104320.27747724773</v>
      </c>
      <c r="N73" s="16">
        <f t="shared" si="12"/>
        <v>34734.78419870435</v>
      </c>
      <c r="O73" s="18"/>
    </row>
    <row r="74" spans="1:15">
      <c r="A74" s="14">
        <v>47</v>
      </c>
      <c r="B74" s="15" t="s">
        <v>158</v>
      </c>
      <c r="C74" s="16">
        <v>49813</v>
      </c>
      <c r="D74" s="17">
        <f t="shared" si="14"/>
        <v>2.5895093084419936E-3</v>
      </c>
      <c r="E74" s="16">
        <f>7463.806+191.13</f>
        <v>7654.9359999999997</v>
      </c>
      <c r="F74" s="16">
        <f>1140.298+0.875</f>
        <v>1141.173</v>
      </c>
      <c r="G74" s="16">
        <f t="shared" si="13"/>
        <v>6513.7629999999999</v>
      </c>
      <c r="H74" s="16">
        <f t="shared" si="7"/>
        <v>56326.762999999999</v>
      </c>
      <c r="I74" s="16">
        <v>869666</v>
      </c>
      <c r="J74" s="16">
        <f t="shared" si="8"/>
        <v>1312.1968663831863</v>
      </c>
      <c r="K74" s="16">
        <f t="shared" si="9"/>
        <v>7489.959363709746</v>
      </c>
      <c r="L74" s="16">
        <f t="shared" si="10"/>
        <v>64768.270807413421</v>
      </c>
      <c r="M74" s="16">
        <f t="shared" si="11"/>
        <v>2182.8230499677375</v>
      </c>
      <c r="N74" s="16">
        <f t="shared" si="12"/>
        <v>-55095.488393735941</v>
      </c>
      <c r="O74" s="18"/>
    </row>
    <row r="75" spans="1:15">
      <c r="A75" s="14">
        <v>48</v>
      </c>
      <c r="B75" s="15" t="s">
        <v>159</v>
      </c>
      <c r="C75" s="16">
        <v>47079</v>
      </c>
      <c r="D75" s="17">
        <f t="shared" si="14"/>
        <v>2.4473833885158619E-3</v>
      </c>
      <c r="E75" s="16">
        <f>11704.454+345.49</f>
        <v>12049.944</v>
      </c>
      <c r="F75" s="16">
        <f>3746.099+55.665</f>
        <v>3801.7640000000001</v>
      </c>
      <c r="G75" s="16">
        <f t="shared" si="13"/>
        <v>8248.18</v>
      </c>
      <c r="H75" s="16">
        <f t="shared" si="7"/>
        <v>55327.18</v>
      </c>
      <c r="I75" s="16">
        <v>1050493</v>
      </c>
      <c r="J75" s="16">
        <f t="shared" si="8"/>
        <v>3619.0283990469238</v>
      </c>
      <c r="K75" s="16">
        <f t="shared" si="9"/>
        <v>7851.7229529373353</v>
      </c>
      <c r="L75" s="16">
        <f t="shared" si="10"/>
        <v>52667.823583783997</v>
      </c>
      <c r="M75" s="16">
        <f t="shared" si="11"/>
        <v>-9917.6241736616867</v>
      </c>
      <c r="N75" s="16">
        <f t="shared" si="12"/>
        <v>-54733.724804508347</v>
      </c>
      <c r="O75" s="18"/>
    </row>
    <row r="76" spans="1:15">
      <c r="A76" s="14">
        <v>49</v>
      </c>
      <c r="B76" s="15" t="s">
        <v>160</v>
      </c>
      <c r="C76" s="16">
        <v>38037</v>
      </c>
      <c r="D76" s="17">
        <f t="shared" si="14"/>
        <v>1.977338557509247E-3</v>
      </c>
      <c r="E76" s="16">
        <f>24778.668+120.607</f>
        <v>24899.275000000001</v>
      </c>
      <c r="F76" s="16">
        <f>5520.481+245.329</f>
        <v>5765.8099999999995</v>
      </c>
      <c r="G76" s="16">
        <f t="shared" si="13"/>
        <v>19133.465000000004</v>
      </c>
      <c r="H76" s="16">
        <f t="shared" si="7"/>
        <v>57170.465000000004</v>
      </c>
      <c r="I76" s="16">
        <v>579315</v>
      </c>
      <c r="J76" s="16">
        <f t="shared" si="8"/>
        <v>9952.8063316157859</v>
      </c>
      <c r="K76" s="16">
        <f t="shared" si="9"/>
        <v>33027.739658044418</v>
      </c>
      <c r="L76" s="16">
        <f t="shared" si="10"/>
        <v>98686.319187316054</v>
      </c>
      <c r="M76" s="16">
        <f t="shared" si="11"/>
        <v>36100.871429870371</v>
      </c>
      <c r="N76" s="16">
        <f t="shared" si="12"/>
        <v>-29557.708099401265</v>
      </c>
      <c r="O76" s="18"/>
    </row>
    <row r="77" spans="1:15" ht="13" thickBot="1">
      <c r="A77" s="19">
        <v>50</v>
      </c>
      <c r="B77" s="20" t="s">
        <v>161</v>
      </c>
      <c r="C77" s="21">
        <v>32545</v>
      </c>
      <c r="D77" s="22">
        <f t="shared" si="14"/>
        <v>1.6918390870504624E-3</v>
      </c>
      <c r="E77" s="21">
        <f>4853.959+594.815</f>
        <v>5448.7739999999994</v>
      </c>
      <c r="F77" s="21">
        <f>4061.038+114.543</f>
        <v>4175.5810000000001</v>
      </c>
      <c r="G77" s="16">
        <f t="shared" si="13"/>
        <v>1273.1929999999993</v>
      </c>
      <c r="H77" s="16">
        <f t="shared" si="7"/>
        <v>33818.192999999999</v>
      </c>
      <c r="I77" s="16">
        <v>623657</v>
      </c>
      <c r="J77" s="16">
        <f t="shared" si="8"/>
        <v>6695.3164960867916</v>
      </c>
      <c r="K77" s="16">
        <f t="shared" si="9"/>
        <v>2041.4955656715138</v>
      </c>
      <c r="L77" s="16">
        <f t="shared" si="10"/>
        <v>54225.628831232556</v>
      </c>
      <c r="M77" s="16">
        <f t="shared" si="11"/>
        <v>-8359.8189262131273</v>
      </c>
      <c r="N77" s="16">
        <f t="shared" si="12"/>
        <v>-60543.952191774166</v>
      </c>
      <c r="O77" s="18"/>
    </row>
    <row r="78" spans="1:15" ht="13" thickBot="1">
      <c r="A78" s="23" t="s">
        <v>55</v>
      </c>
      <c r="B78" s="24"/>
      <c r="C78" s="25">
        <f t="shared" ref="C78:I78" si="15">SUM(C28:C77)</f>
        <v>19236463</v>
      </c>
      <c r="D78" s="40">
        <f t="shared" si="15"/>
        <v>1.0000000000000004</v>
      </c>
      <c r="E78" s="25">
        <f t="shared" si="15"/>
        <v>2633883.6790000005</v>
      </c>
      <c r="F78" s="25">
        <f t="shared" si="15"/>
        <v>2030646.0010000004</v>
      </c>
      <c r="G78" s="25">
        <f t="shared" si="15"/>
        <v>603237.67799999984</v>
      </c>
      <c r="H78" s="25">
        <f t="shared" si="15"/>
        <v>19839700.678000011</v>
      </c>
      <c r="I78" s="25">
        <f t="shared" si="15"/>
        <v>325025206</v>
      </c>
      <c r="J78" s="25">
        <f>F78*1000000/I78</f>
        <v>6247.6569924856858</v>
      </c>
      <c r="K78" s="25">
        <f>G78*1000000/I78</f>
        <v>1855.9719888309212</v>
      </c>
      <c r="L78" s="25">
        <f>H78*1000000/I78</f>
        <v>61040.498742119133</v>
      </c>
      <c r="M78" s="25">
        <f t="shared" si="11"/>
        <v>-1544.9490153265506</v>
      </c>
      <c r="N78" s="25">
        <f>K78+$E$87</f>
        <v>-60729.475768614764</v>
      </c>
      <c r="O78" s="18"/>
    </row>
    <row r="79" spans="1:15">
      <c r="A79" s="102" t="s">
        <v>1</v>
      </c>
      <c r="B79" s="102"/>
      <c r="C79" s="26">
        <f>SUM(C28:C37)</f>
        <v>10958936</v>
      </c>
      <c r="D79" s="17">
        <f>C79/$C$78</f>
        <v>0.56969599868749266</v>
      </c>
      <c r="E79" s="26">
        <f>SUM(E28:E37)</f>
        <v>1320724.0260000001</v>
      </c>
      <c r="F79" s="26">
        <f>SUM(F28:F37)</f>
        <v>1308196.0490000001</v>
      </c>
      <c r="G79" s="26">
        <f>SUM(G28:G37)</f>
        <v>12527.97699999997</v>
      </c>
      <c r="H79" s="26">
        <f>SUM(H28:H37)</f>
        <v>10971463.977</v>
      </c>
      <c r="I79" s="26">
        <f>SUM(I28:I37)</f>
        <v>172236059</v>
      </c>
      <c r="J79" s="26">
        <f>F79*1000000/I79</f>
        <v>7595.3668273378225</v>
      </c>
      <c r="K79" s="26">
        <f>G79*1000000/I79</f>
        <v>72.73724835982209</v>
      </c>
      <c r="L79" s="26">
        <f>H79*1000000/I79</f>
        <v>63700.156870170838</v>
      </c>
      <c r="M79" s="26">
        <f t="shared" si="11"/>
        <v>1114.7091127251551</v>
      </c>
      <c r="N79" s="26">
        <f>K79+$E$87</f>
        <v>-62512.71050908586</v>
      </c>
      <c r="O79" s="18"/>
    </row>
    <row r="80" spans="1:15">
      <c r="A80" s="103" t="s">
        <v>4</v>
      </c>
      <c r="B80" s="103"/>
      <c r="C80" s="27">
        <f>SUM(C28:C47)</f>
        <v>15166485</v>
      </c>
      <c r="D80" s="17">
        <f>C80/$C$78</f>
        <v>0.78842378663894708</v>
      </c>
      <c r="E80" s="27">
        <f>SUM(E28:E47)</f>
        <v>1845859.3810000001</v>
      </c>
      <c r="F80" s="27">
        <f>SUM(F28:F47)</f>
        <v>1609651.7400000002</v>
      </c>
      <c r="G80" s="27">
        <f>SUM(G28:G47)</f>
        <v>236207.64099999997</v>
      </c>
      <c r="H80" s="27">
        <f>SUM(H28:H47)</f>
        <v>15402692.641000001</v>
      </c>
      <c r="I80" s="27">
        <f>SUM(I28:I47)</f>
        <v>245982561</v>
      </c>
      <c r="J80" s="27">
        <f>F80*1000000/I80</f>
        <v>6543.7636450984028</v>
      </c>
      <c r="K80" s="27">
        <f>G80*1000000/I80</f>
        <v>960.26173579028625</v>
      </c>
      <c r="L80" s="27">
        <f>H80*1000000/I80</f>
        <v>62617.010646539289</v>
      </c>
      <c r="M80" s="27">
        <f t="shared" si="11"/>
        <v>31.562889093605918</v>
      </c>
      <c r="N80" s="27">
        <f>K80+$E$87</f>
        <v>-61625.186021655398</v>
      </c>
      <c r="O80" s="18"/>
    </row>
    <row r="81" spans="1:15">
      <c r="A81" s="103" t="s">
        <v>3</v>
      </c>
      <c r="B81" s="103"/>
      <c r="C81" s="27">
        <f>SUM(C28:C57)</f>
        <v>17526869</v>
      </c>
      <c r="D81" s="17">
        <f>C81/$C$78</f>
        <v>0.9111274250365049</v>
      </c>
      <c r="E81" s="27">
        <f>SUM(E28:E57)</f>
        <v>2204172.9810000001</v>
      </c>
      <c r="F81" s="27">
        <f>SUM(F28:F57)</f>
        <v>1868465.3400000003</v>
      </c>
      <c r="G81" s="27">
        <f>SUM(G28:G57)</f>
        <v>335707.64099999995</v>
      </c>
      <c r="H81" s="27">
        <f>SUM(H28:H57)</f>
        <v>17862576.641000003</v>
      </c>
      <c r="I81" s="27">
        <f>SUM(I28:I57)</f>
        <v>291736749</v>
      </c>
      <c r="J81" s="27">
        <f>F81*1000000/I81</f>
        <v>6404.6279613542974</v>
      </c>
      <c r="K81" s="27">
        <f>G81*1000000/I81</f>
        <v>1150.7211283827664</v>
      </c>
      <c r="L81" s="27">
        <f>H81*1000000/I81</f>
        <v>61228.407810220728</v>
      </c>
      <c r="M81" s="27">
        <f t="shared" si="11"/>
        <v>-1357.0399472249555</v>
      </c>
      <c r="N81" s="27">
        <f>K81+$E$87</f>
        <v>-61434.72662906292</v>
      </c>
      <c r="O81" s="18"/>
    </row>
    <row r="82" spans="1:15">
      <c r="A82" s="103" t="s">
        <v>2</v>
      </c>
      <c r="B82" s="103"/>
      <c r="C82" s="27">
        <f>SUM(C28:C67)</f>
        <v>18699219</v>
      </c>
      <c r="D82" s="17">
        <f>C82/$C$78</f>
        <v>0.97207158093460322</v>
      </c>
      <c r="E82" s="27">
        <f>SUM(E28:E67)</f>
        <v>2428996.4470000002</v>
      </c>
      <c r="F82" s="27">
        <f>SUM(F28:F67)</f>
        <v>1971392.6660000004</v>
      </c>
      <c r="G82" s="27">
        <f>SUM(G28:G67)</f>
        <v>457603.78099999984</v>
      </c>
      <c r="H82" s="27">
        <f>SUM(H28:H67)</f>
        <v>19156822.781000007</v>
      </c>
      <c r="I82" s="27">
        <f>SUM(I28:I67)</f>
        <v>315332459</v>
      </c>
      <c r="J82" s="27">
        <f>F82*1000000/I82</f>
        <v>6251.7911167527491</v>
      </c>
      <c r="K82" s="27">
        <f>G82*1000000/I82</f>
        <v>1451.1788049069817</v>
      </c>
      <c r="L82" s="27">
        <f>H82*1000000/I82</f>
        <v>60751.19206488035</v>
      </c>
      <c r="M82" s="27">
        <f t="shared" si="11"/>
        <v>-1834.2556925653334</v>
      </c>
      <c r="N82" s="27">
        <f>K82+$E$87</f>
        <v>-61134.268952538703</v>
      </c>
      <c r="O82" s="18"/>
    </row>
    <row r="83" spans="1:15" ht="24.75" customHeight="1">
      <c r="A83" s="100" t="s">
        <v>172</v>
      </c>
      <c r="B83" s="101"/>
      <c r="C83" s="34">
        <v>19485394</v>
      </c>
      <c r="D83" s="18"/>
      <c r="E83" s="18"/>
      <c r="F83" s="18"/>
      <c r="G83" s="18"/>
      <c r="H83" s="18"/>
      <c r="I83" s="18"/>
      <c r="J83" s="18"/>
      <c r="K83" s="18"/>
      <c r="L83" s="18"/>
      <c r="M83" s="18"/>
      <c r="N83" s="18"/>
      <c r="O83" s="18"/>
    </row>
    <row r="85" spans="1:15">
      <c r="A85" s="35" t="s">
        <v>314</v>
      </c>
      <c r="E85" s="16">
        <v>-20416200</v>
      </c>
    </row>
    <row r="86" spans="1:15">
      <c r="A86" s="35" t="s">
        <v>174</v>
      </c>
      <c r="E86" s="16">
        <v>326213213</v>
      </c>
    </row>
    <row r="87" spans="1:15">
      <c r="A87" s="35" t="s">
        <v>180</v>
      </c>
      <c r="E87" s="16">
        <f>E85*1000000/E86</f>
        <v>-62585.447757445683</v>
      </c>
    </row>
    <row r="89" spans="1:15" ht="12.75" customHeight="1">
      <c r="A89" s="29" t="s">
        <v>169</v>
      </c>
      <c r="B89" s="28"/>
      <c r="C89" s="28"/>
      <c r="D89" s="28"/>
      <c r="E89" s="28"/>
      <c r="F89" s="28"/>
      <c r="G89" s="28"/>
      <c r="H89" s="12"/>
    </row>
    <row r="90" spans="1:15">
      <c r="B90" s="8" t="s">
        <v>176</v>
      </c>
    </row>
    <row r="91" spans="1:15">
      <c r="B91" s="8" t="s">
        <v>177</v>
      </c>
    </row>
    <row r="92" spans="1:15">
      <c r="B92" s="8" t="s">
        <v>178</v>
      </c>
    </row>
    <row r="93" spans="1:15">
      <c r="B93" s="8" t="s">
        <v>170</v>
      </c>
    </row>
    <row r="94" spans="1:15">
      <c r="B94" s="8" t="s">
        <v>168</v>
      </c>
    </row>
    <row r="95" spans="1:15">
      <c r="B95" s="8" t="s">
        <v>179</v>
      </c>
    </row>
    <row r="96" spans="1:15" ht="12.75" customHeight="1">
      <c r="B96" s="29" t="s">
        <v>171</v>
      </c>
      <c r="C96" s="28"/>
      <c r="D96" s="28"/>
      <c r="E96" s="28"/>
      <c r="F96" s="28"/>
      <c r="G96" s="28"/>
      <c r="H96" s="28"/>
      <c r="I96" s="28"/>
      <c r="J96" s="28"/>
      <c r="K96" s="28"/>
      <c r="L96" s="28"/>
      <c r="M96" s="28"/>
      <c r="N96" s="28"/>
    </row>
    <row r="97" spans="2:14">
      <c r="B97" s="29" t="s">
        <v>173</v>
      </c>
      <c r="C97" s="28"/>
      <c r="D97" s="28"/>
      <c r="E97" s="28"/>
      <c r="F97" s="28"/>
      <c r="G97" s="28"/>
      <c r="H97" s="28"/>
      <c r="I97" s="28"/>
      <c r="J97" s="28"/>
      <c r="K97" s="28"/>
      <c r="L97" s="28"/>
      <c r="M97" s="28"/>
      <c r="N97" s="28"/>
    </row>
    <row r="98" spans="2:14">
      <c r="B98" s="8" t="s">
        <v>315</v>
      </c>
    </row>
  </sheetData>
  <sortState ref="B3:D58">
    <sortCondition descending="1" ref="C3:C58"/>
  </sortState>
  <mergeCells count="16">
    <mergeCell ref="A24:B24"/>
    <mergeCell ref="A2:N2"/>
    <mergeCell ref="A4:N4"/>
    <mergeCell ref="A6:N13"/>
    <mergeCell ref="A21:B21"/>
    <mergeCell ref="A22:B22"/>
    <mergeCell ref="A23:B23"/>
    <mergeCell ref="A16:B16"/>
    <mergeCell ref="A17:B17"/>
    <mergeCell ref="A18:B18"/>
    <mergeCell ref="A15:B15"/>
    <mergeCell ref="A83:B83"/>
    <mergeCell ref="A79:B79"/>
    <mergeCell ref="A80:B80"/>
    <mergeCell ref="A81:B81"/>
    <mergeCell ref="A82:B82"/>
  </mergeCells>
  <printOptions horizontalCentered="1"/>
  <pageMargins left="0.5" right="0.5" top="0.75" bottom="0.75" header="0.3" footer="0.3"/>
  <pageSetup paperSize="9" scale="78" fitToHeight="0" orientation="landscape" horizontalDpi="4294967293" verticalDpi="4294967293"/>
  <headerFooter>
    <oddHeader xml:space="preserve">&amp;R&amp;8
</oddHeader>
    <oddFooter>&amp;C&amp;"Arial,Regular"&amp;10&amp;P of &amp;N</oddFooter>
  </headerFooter>
  <rowBreaks count="1" manualBreakCount="1">
    <brk id="25"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98"/>
  <sheetViews>
    <sheetView showWhiteSpace="0" view="pageBreakPreview" topLeftCell="A74" zoomScaleSheetLayoutView="100" workbookViewId="0">
      <selection activeCell="G83" sqref="G83"/>
    </sheetView>
  </sheetViews>
  <sheetFormatPr baseColWidth="10" defaultColWidth="9.1640625" defaultRowHeight="12" x14ac:dyDescent="0"/>
  <cols>
    <col min="1" max="1" width="3.1640625" style="8" customWidth="1"/>
    <col min="2" max="2" width="16.83203125" style="8" customWidth="1"/>
    <col min="3" max="3" width="10.5" style="8" customWidth="1"/>
    <col min="4" max="4" width="7.1640625" style="8" customWidth="1"/>
    <col min="5" max="5" width="12.5" style="8" customWidth="1"/>
    <col min="6" max="6" width="14" style="8" customWidth="1"/>
    <col min="7" max="7" width="17" style="8" customWidth="1"/>
    <col min="8" max="8" width="10.5" style="8" customWidth="1"/>
    <col min="9" max="9" width="11" style="8" customWidth="1"/>
    <col min="10" max="10" width="11.5" style="8" customWidth="1"/>
    <col min="11" max="11" width="16.33203125" style="8" customWidth="1"/>
    <col min="12" max="12" width="10.83203125" style="8" customWidth="1"/>
    <col min="13" max="13" width="15" style="8" customWidth="1"/>
    <col min="14" max="14" width="17.33203125" style="8" customWidth="1"/>
    <col min="15" max="15" width="9.1640625" style="8"/>
    <col min="16" max="16" width="16.1640625" style="8" bestFit="1" customWidth="1"/>
    <col min="17" max="16384" width="9.1640625" style="8"/>
  </cols>
  <sheetData>
    <row r="1" spans="1:15">
      <c r="A1" s="36"/>
      <c r="B1" s="36"/>
      <c r="C1" s="36"/>
      <c r="D1" s="36"/>
      <c r="E1" s="36"/>
      <c r="F1" s="36"/>
      <c r="G1" s="36"/>
      <c r="H1" s="36"/>
      <c r="I1" s="36"/>
      <c r="J1" s="37"/>
      <c r="K1" s="36"/>
      <c r="L1" s="36"/>
      <c r="M1" s="36"/>
      <c r="N1" s="41" t="str">
        <f>'2017 Ranked by GDP'!N1</f>
        <v>Draft 15.01.2019.2130ET</v>
      </c>
    </row>
    <row r="2" spans="1:15" s="38" customFormat="1" ht="17">
      <c r="A2" s="104" t="s">
        <v>163</v>
      </c>
      <c r="B2" s="104"/>
      <c r="C2" s="104"/>
      <c r="D2" s="104"/>
      <c r="E2" s="104"/>
      <c r="F2" s="104"/>
      <c r="G2" s="104"/>
      <c r="H2" s="104"/>
      <c r="I2" s="104"/>
      <c r="J2" s="104"/>
      <c r="K2" s="104"/>
      <c r="L2" s="104"/>
      <c r="M2" s="104"/>
      <c r="N2" s="104"/>
    </row>
    <row r="3" spans="1:15" ht="54" customHeight="1">
      <c r="A3" s="30"/>
      <c r="B3" s="30"/>
      <c r="C3" s="30"/>
      <c r="D3" s="30"/>
      <c r="E3" s="30"/>
      <c r="F3" s="30"/>
      <c r="G3" s="30"/>
      <c r="H3" s="30"/>
      <c r="I3" s="30"/>
      <c r="J3" s="86"/>
      <c r="K3" s="36"/>
      <c r="L3" s="36"/>
      <c r="M3" s="36"/>
      <c r="N3" s="36"/>
    </row>
    <row r="4" spans="1:15" s="39" customFormat="1" ht="17">
      <c r="A4" s="105" t="s">
        <v>191</v>
      </c>
      <c r="B4" s="106"/>
      <c r="C4" s="106"/>
      <c r="D4" s="106"/>
      <c r="E4" s="106"/>
      <c r="F4" s="106"/>
      <c r="G4" s="106"/>
      <c r="H4" s="106"/>
      <c r="I4" s="106"/>
      <c r="J4" s="106"/>
      <c r="K4" s="106"/>
      <c r="L4" s="106"/>
      <c r="M4" s="106"/>
      <c r="N4" s="106"/>
    </row>
    <row r="5" spans="1:15" s="10" customFormat="1">
      <c r="A5" s="31"/>
      <c r="B5" s="31"/>
      <c r="C5" s="31"/>
      <c r="D5" s="31"/>
      <c r="E5" s="31"/>
      <c r="F5" s="31"/>
      <c r="G5" s="31"/>
      <c r="H5" s="31"/>
      <c r="I5" s="31"/>
      <c r="J5" s="31"/>
      <c r="K5" s="31"/>
      <c r="L5" s="31"/>
      <c r="M5" s="31"/>
      <c r="N5" s="31"/>
    </row>
    <row r="6" spans="1:15">
      <c r="A6" s="107" t="s">
        <v>175</v>
      </c>
      <c r="B6" s="107"/>
      <c r="C6" s="107"/>
      <c r="D6" s="107"/>
      <c r="E6" s="107"/>
      <c r="F6" s="107"/>
      <c r="G6" s="107"/>
      <c r="H6" s="107"/>
      <c r="I6" s="107"/>
      <c r="J6" s="107"/>
      <c r="K6" s="107"/>
      <c r="L6" s="107"/>
      <c r="M6" s="107"/>
      <c r="N6" s="107"/>
    </row>
    <row r="7" spans="1:15">
      <c r="A7" s="107"/>
      <c r="B7" s="107"/>
      <c r="C7" s="107"/>
      <c r="D7" s="107"/>
      <c r="E7" s="107"/>
      <c r="F7" s="107"/>
      <c r="G7" s="107"/>
      <c r="H7" s="107"/>
      <c r="I7" s="107"/>
      <c r="J7" s="107"/>
      <c r="K7" s="107"/>
      <c r="L7" s="107"/>
      <c r="M7" s="107"/>
      <c r="N7" s="107"/>
    </row>
    <row r="8" spans="1:15">
      <c r="A8" s="107"/>
      <c r="B8" s="107"/>
      <c r="C8" s="107"/>
      <c r="D8" s="107"/>
      <c r="E8" s="107"/>
      <c r="F8" s="107"/>
      <c r="G8" s="107"/>
      <c r="H8" s="107"/>
      <c r="I8" s="107"/>
      <c r="J8" s="107"/>
      <c r="K8" s="107"/>
      <c r="L8" s="107"/>
      <c r="M8" s="107"/>
      <c r="N8" s="107"/>
    </row>
    <row r="9" spans="1:15">
      <c r="A9" s="107"/>
      <c r="B9" s="107"/>
      <c r="C9" s="107"/>
      <c r="D9" s="107"/>
      <c r="E9" s="107"/>
      <c r="F9" s="107"/>
      <c r="G9" s="107"/>
      <c r="H9" s="107"/>
      <c r="I9" s="107"/>
      <c r="J9" s="107"/>
      <c r="K9" s="107"/>
      <c r="L9" s="107"/>
      <c r="M9" s="107"/>
      <c r="N9" s="107"/>
    </row>
    <row r="10" spans="1:15">
      <c r="A10" s="107"/>
      <c r="B10" s="107"/>
      <c r="C10" s="107"/>
      <c r="D10" s="107"/>
      <c r="E10" s="107"/>
      <c r="F10" s="107"/>
      <c r="G10" s="107"/>
      <c r="H10" s="107"/>
      <c r="I10" s="107"/>
      <c r="J10" s="107"/>
      <c r="K10" s="107"/>
      <c r="L10" s="107"/>
      <c r="M10" s="107"/>
      <c r="N10" s="107"/>
    </row>
    <row r="11" spans="1:15">
      <c r="A11" s="107"/>
      <c r="B11" s="107"/>
      <c r="C11" s="107"/>
      <c r="D11" s="107"/>
      <c r="E11" s="107"/>
      <c r="F11" s="107"/>
      <c r="G11" s="107"/>
      <c r="H11" s="107"/>
      <c r="I11" s="107"/>
      <c r="J11" s="107"/>
      <c r="K11" s="107"/>
      <c r="L11" s="107"/>
      <c r="M11" s="107"/>
      <c r="N11" s="107"/>
    </row>
    <row r="12" spans="1:15">
      <c r="A12" s="107"/>
      <c r="B12" s="107"/>
      <c r="C12" s="107"/>
      <c r="D12" s="107"/>
      <c r="E12" s="107"/>
      <c r="F12" s="107"/>
      <c r="G12" s="107"/>
      <c r="H12" s="107"/>
      <c r="I12" s="107"/>
      <c r="J12" s="107"/>
      <c r="K12" s="107"/>
      <c r="L12" s="107"/>
      <c r="M12" s="107"/>
      <c r="N12" s="107"/>
    </row>
    <row r="13" spans="1:15">
      <c r="A13" s="107"/>
      <c r="B13" s="107"/>
      <c r="C13" s="107"/>
      <c r="D13" s="107"/>
      <c r="E13" s="107"/>
      <c r="F13" s="107"/>
      <c r="G13" s="107"/>
      <c r="H13" s="107"/>
      <c r="I13" s="107"/>
      <c r="J13" s="107"/>
      <c r="K13" s="107"/>
      <c r="L13" s="107"/>
      <c r="M13" s="107"/>
      <c r="N13" s="107"/>
    </row>
    <row r="14" spans="1:15" ht="15" customHeight="1">
      <c r="A14" s="49"/>
      <c r="B14" s="49"/>
      <c r="C14" s="49"/>
      <c r="D14" s="49"/>
      <c r="E14" s="49"/>
      <c r="F14" s="49"/>
      <c r="G14" s="49"/>
      <c r="H14" s="49"/>
      <c r="I14" s="49"/>
      <c r="J14" s="49"/>
      <c r="K14" s="49"/>
      <c r="L14" s="49"/>
      <c r="M14" s="49"/>
      <c r="N14" s="49"/>
    </row>
    <row r="15" spans="1:15" ht="72">
      <c r="A15" s="109"/>
      <c r="B15" s="110"/>
      <c r="C15" s="50" t="s">
        <v>166</v>
      </c>
      <c r="D15" s="50" t="s">
        <v>164</v>
      </c>
      <c r="E15" s="51" t="s">
        <v>185</v>
      </c>
      <c r="F15" s="51" t="s">
        <v>186</v>
      </c>
      <c r="G15" s="51" t="s">
        <v>312</v>
      </c>
      <c r="H15" s="51" t="s">
        <v>187</v>
      </c>
      <c r="I15" s="50" t="s">
        <v>167</v>
      </c>
      <c r="J15" s="51" t="s">
        <v>188</v>
      </c>
      <c r="K15" s="51" t="s">
        <v>310</v>
      </c>
      <c r="L15" s="51" t="s">
        <v>189</v>
      </c>
      <c r="M15" s="51" t="s">
        <v>190</v>
      </c>
      <c r="N15" s="51" t="s">
        <v>195</v>
      </c>
    </row>
    <row r="16" spans="1:15" ht="14.25" customHeight="1">
      <c r="A16" s="108" t="s">
        <v>183</v>
      </c>
      <c r="B16" s="108"/>
      <c r="C16" s="27">
        <f t="shared" ref="C16:N16" si="0">C78</f>
        <v>19236463</v>
      </c>
      <c r="D16" s="52">
        <f t="shared" si="0"/>
        <v>1.0000000000000002</v>
      </c>
      <c r="E16" s="27">
        <f t="shared" si="0"/>
        <v>2633883.6790000009</v>
      </c>
      <c r="F16" s="27">
        <f t="shared" si="0"/>
        <v>2030646.0010000002</v>
      </c>
      <c r="G16" s="27">
        <f t="shared" si="0"/>
        <v>603237.67800000019</v>
      </c>
      <c r="H16" s="27">
        <f t="shared" si="0"/>
        <v>19839700.677999999</v>
      </c>
      <c r="I16" s="27">
        <f t="shared" si="0"/>
        <v>325025206</v>
      </c>
      <c r="J16" s="27">
        <f t="shared" si="0"/>
        <v>6247.6569924856849</v>
      </c>
      <c r="K16" s="27">
        <f t="shared" si="0"/>
        <v>1855.9719888309223</v>
      </c>
      <c r="L16" s="27">
        <f t="shared" si="0"/>
        <v>61040.498742119096</v>
      </c>
      <c r="M16" s="27">
        <f t="shared" si="0"/>
        <v>-1544.949015326587</v>
      </c>
      <c r="N16" s="27">
        <f t="shared" si="0"/>
        <v>-60729.475768614764</v>
      </c>
      <c r="O16" s="18"/>
    </row>
    <row r="17" spans="1:17">
      <c r="A17" s="108" t="s">
        <v>181</v>
      </c>
      <c r="B17" s="108"/>
      <c r="C17" s="27">
        <f>C16</f>
        <v>19236463</v>
      </c>
      <c r="D17" s="52"/>
      <c r="E17" s="27">
        <v>3480700</v>
      </c>
      <c r="F17" s="27">
        <v>23896900</v>
      </c>
      <c r="G17" s="27">
        <v>-20416200</v>
      </c>
      <c r="H17" s="27">
        <f>C17+G17</f>
        <v>-1179737</v>
      </c>
      <c r="I17" s="27">
        <f>I16</f>
        <v>325025206</v>
      </c>
      <c r="J17" s="27">
        <f>(F17/I17*1000000)</f>
        <v>73523.220842139854</v>
      </c>
      <c r="K17" s="27">
        <f>(G17/I17)*1000000</f>
        <v>-62814.205246592479</v>
      </c>
      <c r="L17" s="27">
        <f>(H17*1000000)/I17</f>
        <v>-3629.6784933043009</v>
      </c>
      <c r="M17" s="59" t="s">
        <v>184</v>
      </c>
      <c r="N17" s="59" t="s">
        <v>184</v>
      </c>
      <c r="O17" s="18"/>
      <c r="P17" s="42"/>
      <c r="Q17" s="43"/>
    </row>
    <row r="18" spans="1:17">
      <c r="A18" s="108" t="s">
        <v>182</v>
      </c>
      <c r="B18" s="108"/>
      <c r="C18" s="27">
        <f>C16</f>
        <v>19236463</v>
      </c>
      <c r="D18" s="52"/>
      <c r="E18" s="27">
        <f>E16+E17</f>
        <v>6114583.6790000014</v>
      </c>
      <c r="F18" s="27">
        <f>F16+F17</f>
        <v>25927546.001000002</v>
      </c>
      <c r="G18" s="27">
        <f>G16+G17</f>
        <v>-19812962.322000001</v>
      </c>
      <c r="H18" s="27">
        <f>C18+G18</f>
        <v>-576499.32200000063</v>
      </c>
      <c r="I18" s="27">
        <f>I16</f>
        <v>325025206</v>
      </c>
      <c r="J18" s="27">
        <f>(F18/I18)*1000000</f>
        <v>79770.877834625542</v>
      </c>
      <c r="K18" s="27">
        <f>(G18/I18)*1000000</f>
        <v>-60958.233257761553</v>
      </c>
      <c r="L18" s="27">
        <f>(H18*1000000)/I18</f>
        <v>-1773.7065044733811</v>
      </c>
      <c r="M18" s="59" t="s">
        <v>184</v>
      </c>
      <c r="N18" s="59" t="s">
        <v>184</v>
      </c>
      <c r="O18" s="18"/>
    </row>
    <row r="19" spans="1:17" s="29" customFormat="1">
      <c r="A19" s="90" t="s">
        <v>194</v>
      </c>
      <c r="B19" s="91"/>
      <c r="C19" s="91"/>
      <c r="D19" s="92"/>
      <c r="E19" s="58">
        <f>E17/E16</f>
        <v>1.3215086253624941</v>
      </c>
      <c r="F19" s="58">
        <f>F17/F16</f>
        <v>11.768126984334971</v>
      </c>
      <c r="G19" s="55"/>
      <c r="H19" s="53"/>
      <c r="I19" s="53"/>
      <c r="J19" s="53"/>
      <c r="K19" s="53"/>
      <c r="L19" s="53"/>
      <c r="M19" s="56"/>
      <c r="N19" s="56"/>
      <c r="O19" s="57"/>
    </row>
    <row r="20" spans="1:17">
      <c r="A20" s="45"/>
      <c r="B20" s="46"/>
      <c r="C20" s="47"/>
      <c r="D20" s="48"/>
      <c r="E20" s="47"/>
      <c r="F20" s="47"/>
      <c r="G20" s="47"/>
      <c r="H20" s="47"/>
      <c r="I20" s="47"/>
      <c r="J20" s="47"/>
      <c r="K20" s="47"/>
      <c r="L20" s="47"/>
      <c r="M20" s="47"/>
      <c r="N20" s="47"/>
      <c r="O20" s="18"/>
    </row>
    <row r="21" spans="1:17">
      <c r="A21" s="102" t="s">
        <v>1</v>
      </c>
      <c r="B21" s="102"/>
      <c r="C21" s="26">
        <f t="shared" ref="C21:E24" si="1">C79</f>
        <v>6155775</v>
      </c>
      <c r="D21" s="44">
        <f t="shared" si="1"/>
        <v>0.32000555403558334</v>
      </c>
      <c r="E21" s="26">
        <f>E79</f>
        <v>789749.21100000001</v>
      </c>
      <c r="F21" s="26">
        <f t="shared" ref="F21:M24" si="2">F79</f>
        <v>671733.49800000002</v>
      </c>
      <c r="G21" s="26">
        <f t="shared" si="2"/>
        <v>118015.71300000002</v>
      </c>
      <c r="H21" s="26">
        <f t="shared" si="2"/>
        <v>6273790.7130000005</v>
      </c>
      <c r="I21" s="26">
        <f t="shared" si="2"/>
        <v>84184738</v>
      </c>
      <c r="J21" s="26">
        <f t="shared" si="2"/>
        <v>7979.2788331775764</v>
      </c>
      <c r="K21" s="26">
        <f t="shared" si="2"/>
        <v>1401.8658940293906</v>
      </c>
      <c r="L21" s="26">
        <f t="shared" si="2"/>
        <v>74524.086693718753</v>
      </c>
      <c r="M21" s="26">
        <f>M79</f>
        <v>11938.63893627307</v>
      </c>
      <c r="N21" s="26">
        <f>N79</f>
        <v>-61183.581863416293</v>
      </c>
      <c r="O21" s="18"/>
    </row>
    <row r="22" spans="1:17">
      <c r="A22" s="103" t="s">
        <v>4</v>
      </c>
      <c r="B22" s="103"/>
      <c r="C22" s="27">
        <f t="shared" si="1"/>
        <v>9889536</v>
      </c>
      <c r="D22" s="17">
        <f t="shared" si="1"/>
        <v>0.51410365824528137</v>
      </c>
      <c r="E22" s="26">
        <f t="shared" si="1"/>
        <v>1389657.4840000002</v>
      </c>
      <c r="F22" s="26">
        <f t="shared" si="2"/>
        <v>1057115.858</v>
      </c>
      <c r="G22" s="26">
        <f t="shared" si="2"/>
        <v>332541.62600000005</v>
      </c>
      <c r="H22" s="26">
        <f t="shared" si="2"/>
        <v>10222077.626</v>
      </c>
      <c r="I22" s="26">
        <f t="shared" si="2"/>
        <v>146094412</v>
      </c>
      <c r="J22" s="26">
        <f t="shared" si="2"/>
        <v>7235.8404645894325</v>
      </c>
      <c r="K22" s="26">
        <f t="shared" si="2"/>
        <v>2276.2104412316608</v>
      </c>
      <c r="L22" s="26">
        <f t="shared" si="2"/>
        <v>69968.984344178753</v>
      </c>
      <c r="M22" s="26">
        <f t="shared" si="2"/>
        <v>7383.5365867330693</v>
      </c>
      <c r="N22" s="26">
        <f>N80</f>
        <v>-60309.237316214021</v>
      </c>
      <c r="O22" s="18"/>
    </row>
    <row r="23" spans="1:17">
      <c r="A23" s="103" t="s">
        <v>3</v>
      </c>
      <c r="B23" s="103"/>
      <c r="C23" s="27">
        <f t="shared" si="1"/>
        <v>13606379</v>
      </c>
      <c r="D23" s="17">
        <f t="shared" si="1"/>
        <v>0.70732228684659959</v>
      </c>
      <c r="E23" s="26">
        <f t="shared" si="1"/>
        <v>1868054.2480000004</v>
      </c>
      <c r="F23" s="26">
        <f t="shared" si="2"/>
        <v>1298445.4750000001</v>
      </c>
      <c r="G23" s="26">
        <f t="shared" si="2"/>
        <v>569608.77300000004</v>
      </c>
      <c r="H23" s="26">
        <f t="shared" si="2"/>
        <v>14175987.772999998</v>
      </c>
      <c r="I23" s="26">
        <f t="shared" si="2"/>
        <v>213976431</v>
      </c>
      <c r="J23" s="26">
        <f t="shared" si="2"/>
        <v>6068.1705407078225</v>
      </c>
      <c r="K23" s="26">
        <f t="shared" si="2"/>
        <v>2662.0164208645951</v>
      </c>
      <c r="L23" s="26">
        <f t="shared" si="2"/>
        <v>66250.230021828887</v>
      </c>
      <c r="M23" s="26">
        <f t="shared" si="2"/>
        <v>3664.7822643832042</v>
      </c>
      <c r="N23" s="26">
        <f>N81</f>
        <v>-59923.431336581089</v>
      </c>
      <c r="O23" s="18"/>
    </row>
    <row r="24" spans="1:17">
      <c r="A24" s="103" t="s">
        <v>2</v>
      </c>
      <c r="B24" s="103"/>
      <c r="C24" s="27">
        <f t="shared" si="1"/>
        <v>16858447</v>
      </c>
      <c r="D24" s="17">
        <f t="shared" si="1"/>
        <v>0.87637976898351844</v>
      </c>
      <c r="E24" s="26">
        <f t="shared" si="1"/>
        <v>2229786.1730000009</v>
      </c>
      <c r="F24" s="26">
        <f t="shared" si="2"/>
        <v>1826793.173</v>
      </c>
      <c r="G24" s="26">
        <f t="shared" si="2"/>
        <v>402993.00000000012</v>
      </c>
      <c r="H24" s="26">
        <f t="shared" si="2"/>
        <v>17261440</v>
      </c>
      <c r="I24" s="26">
        <f t="shared" si="2"/>
        <v>271814145</v>
      </c>
      <c r="J24" s="26">
        <f t="shared" si="2"/>
        <v>6720.743591176979</v>
      </c>
      <c r="K24" s="26">
        <f t="shared" si="2"/>
        <v>1482.6049615629831</v>
      </c>
      <c r="L24" s="26">
        <f t="shared" si="2"/>
        <v>63504.568535239399</v>
      </c>
      <c r="M24" s="26">
        <f t="shared" si="2"/>
        <v>919.12077779371612</v>
      </c>
      <c r="N24" s="26">
        <f>N82</f>
        <v>-61102.842795882701</v>
      </c>
      <c r="O24" s="18"/>
    </row>
    <row r="25" spans="1:17" ht="15" customHeight="1">
      <c r="A25" s="83"/>
      <c r="B25" s="83"/>
      <c r="C25" s="83"/>
      <c r="D25" s="83"/>
      <c r="E25" s="83"/>
      <c r="F25" s="83"/>
      <c r="G25" s="83"/>
      <c r="H25" s="83"/>
      <c r="I25" s="83"/>
      <c r="J25" s="83"/>
      <c r="K25" s="83"/>
      <c r="L25" s="83"/>
      <c r="M25" s="83"/>
      <c r="N25" s="83"/>
    </row>
    <row r="26" spans="1:17" ht="13" thickBot="1">
      <c r="A26" s="33"/>
      <c r="B26" s="33"/>
      <c r="C26" s="33"/>
      <c r="D26" s="33"/>
      <c r="E26" s="33"/>
      <c r="F26" s="33"/>
      <c r="G26" s="33"/>
      <c r="H26" s="33"/>
      <c r="I26" s="33"/>
      <c r="J26" s="33"/>
      <c r="K26" s="33"/>
      <c r="L26" s="33"/>
      <c r="M26" s="33"/>
      <c r="N26" s="33"/>
    </row>
    <row r="27" spans="1:17" ht="72">
      <c r="A27" s="11" t="s">
        <v>45</v>
      </c>
      <c r="B27" s="11" t="s">
        <v>165</v>
      </c>
      <c r="C27" s="50" t="s">
        <v>166</v>
      </c>
      <c r="D27" s="50" t="s">
        <v>164</v>
      </c>
      <c r="E27" s="51" t="s">
        <v>185</v>
      </c>
      <c r="F27" s="51" t="s">
        <v>186</v>
      </c>
      <c r="G27" s="51" t="s">
        <v>192</v>
      </c>
      <c r="H27" s="51" t="s">
        <v>187</v>
      </c>
      <c r="I27" s="50" t="s">
        <v>167</v>
      </c>
      <c r="J27" s="51" t="s">
        <v>188</v>
      </c>
      <c r="K27" s="51" t="s">
        <v>193</v>
      </c>
      <c r="L27" s="51" t="s">
        <v>189</v>
      </c>
      <c r="M27" s="51" t="s">
        <v>190</v>
      </c>
      <c r="N27" s="51" t="s">
        <v>195</v>
      </c>
    </row>
    <row r="28" spans="1:17">
      <c r="A28" s="14">
        <v>1</v>
      </c>
      <c r="B28" s="15" t="s">
        <v>157</v>
      </c>
      <c r="C28" s="16">
        <v>51479</v>
      </c>
      <c r="D28" s="17">
        <f t="shared" ref="D28:D59" si="3">C28/$C$78</f>
        <v>2.6761156663779617E-3</v>
      </c>
      <c r="E28" s="16">
        <f>82065.056+930.963</f>
        <v>82996.019</v>
      </c>
      <c r="F28" s="16">
        <f>10748.07+250.928</f>
        <v>10998.998</v>
      </c>
      <c r="G28" s="16">
        <f t="shared" ref="G28:G59" si="4">E28-F28</f>
        <v>71997.021000000008</v>
      </c>
      <c r="H28" s="16">
        <f t="shared" ref="H28:H59" si="5">C28+G28</f>
        <v>123476.02100000001</v>
      </c>
      <c r="I28" s="16">
        <v>739795</v>
      </c>
      <c r="J28" s="16">
        <f t="shared" ref="J28:J59" si="6">F28*1000000/I28</f>
        <v>14867.629546022885</v>
      </c>
      <c r="K28" s="16">
        <f t="shared" ref="K28:K59" si="7">G28*1000000/I28</f>
        <v>97320.231956150034</v>
      </c>
      <c r="L28" s="16">
        <f t="shared" ref="L28:L59" si="8">H28*1000000/I28</f>
        <v>166905.72523469341</v>
      </c>
      <c r="M28" s="16">
        <f t="shared" ref="M28:M59" si="9">L28+$E$87</f>
        <v>104320.27747724773</v>
      </c>
      <c r="N28" s="16">
        <f t="shared" ref="N28:N59" si="10">K28+$E$87</f>
        <v>34734.78419870435</v>
      </c>
      <c r="O28" s="18"/>
    </row>
    <row r="29" spans="1:17">
      <c r="A29" s="14">
        <v>2</v>
      </c>
      <c r="B29" s="15" t="s">
        <v>160</v>
      </c>
      <c r="C29" s="16">
        <v>38037</v>
      </c>
      <c r="D29" s="17">
        <f t="shared" si="3"/>
        <v>1.977338557509247E-3</v>
      </c>
      <c r="E29" s="16">
        <f>24778.668+120.607</f>
        <v>24899.275000000001</v>
      </c>
      <c r="F29" s="16">
        <f>5520.481+245.329</f>
        <v>5765.8099999999995</v>
      </c>
      <c r="G29" s="16">
        <f t="shared" si="4"/>
        <v>19133.465000000004</v>
      </c>
      <c r="H29" s="16">
        <f t="shared" si="5"/>
        <v>57170.465000000004</v>
      </c>
      <c r="I29" s="16">
        <v>579315</v>
      </c>
      <c r="J29" s="16">
        <f t="shared" si="6"/>
        <v>9952.8063316157859</v>
      </c>
      <c r="K29" s="16">
        <f t="shared" si="7"/>
        <v>33027.739658044418</v>
      </c>
      <c r="L29" s="16">
        <f t="shared" si="8"/>
        <v>98686.319187316054</v>
      </c>
      <c r="M29" s="16">
        <f t="shared" si="9"/>
        <v>36100.871429870371</v>
      </c>
      <c r="N29" s="16">
        <f t="shared" si="10"/>
        <v>-29557.708099401265</v>
      </c>
      <c r="O29" s="18"/>
    </row>
    <row r="30" spans="1:17">
      <c r="A30" s="14">
        <v>3</v>
      </c>
      <c r="B30" s="15" t="s">
        <v>156</v>
      </c>
      <c r="C30" s="16">
        <v>52527</v>
      </c>
      <c r="D30" s="17">
        <f t="shared" si="3"/>
        <v>2.7305955361960252E-3</v>
      </c>
      <c r="E30" s="16">
        <f>27516.261+210.31</f>
        <v>27726.571</v>
      </c>
      <c r="F30" s="16">
        <f>6944.557+63.379</f>
        <v>7007.9359999999997</v>
      </c>
      <c r="G30" s="16">
        <f t="shared" si="4"/>
        <v>20718.635000000002</v>
      </c>
      <c r="H30" s="16">
        <f t="shared" si="5"/>
        <v>73245.635000000009</v>
      </c>
      <c r="I30" s="16">
        <v>755393</v>
      </c>
      <c r="J30" s="16">
        <f t="shared" si="6"/>
        <v>9277.205375215286</v>
      </c>
      <c r="K30" s="16">
        <f t="shared" si="7"/>
        <v>27427.623766701578</v>
      </c>
      <c r="L30" s="16">
        <f t="shared" si="8"/>
        <v>96963.613642170385</v>
      </c>
      <c r="M30" s="16">
        <f t="shared" si="9"/>
        <v>34378.165884724702</v>
      </c>
      <c r="N30" s="16">
        <f t="shared" si="10"/>
        <v>-35157.823990744102</v>
      </c>
      <c r="O30" s="18"/>
    </row>
    <row r="31" spans="1:17">
      <c r="A31" s="14">
        <v>4</v>
      </c>
      <c r="B31" s="15" t="s">
        <v>54</v>
      </c>
      <c r="C31" s="16">
        <v>1606601</v>
      </c>
      <c r="D31" s="17">
        <f t="shared" si="3"/>
        <v>8.3518524169438016E-2</v>
      </c>
      <c r="E31" s="16">
        <f>160209+9552</f>
        <v>169761</v>
      </c>
      <c r="F31" s="16">
        <f>139536+1313</f>
        <v>140849</v>
      </c>
      <c r="G31" s="16">
        <f t="shared" si="4"/>
        <v>28912</v>
      </c>
      <c r="H31" s="16">
        <f t="shared" si="5"/>
        <v>1635513</v>
      </c>
      <c r="I31" s="16">
        <v>19849399</v>
      </c>
      <c r="J31" s="16">
        <f t="shared" si="6"/>
        <v>7095.8823488811931</v>
      </c>
      <c r="K31" s="16">
        <f t="shared" si="7"/>
        <v>1456.5680300950171</v>
      </c>
      <c r="L31" s="16">
        <f t="shared" si="8"/>
        <v>82396.096728167948</v>
      </c>
      <c r="M31" s="16">
        <f t="shared" si="9"/>
        <v>19810.648970722264</v>
      </c>
      <c r="N31" s="16">
        <f t="shared" si="10"/>
        <v>-61128.879727350664</v>
      </c>
      <c r="O31" s="18"/>
    </row>
    <row r="32" spans="1:17">
      <c r="A32" s="14">
        <v>5</v>
      </c>
      <c r="B32" s="15" t="s">
        <v>152</v>
      </c>
      <c r="C32" s="16">
        <v>72461</v>
      </c>
      <c r="D32" s="17">
        <f t="shared" si="3"/>
        <v>3.7668567241285469E-3</v>
      </c>
      <c r="E32" s="16">
        <f>11860.216+825.698</f>
        <v>12685.914000000001</v>
      </c>
      <c r="F32" s="16">
        <f>9962.503+95.241</f>
        <v>10057.744000000001</v>
      </c>
      <c r="G32" s="16">
        <f t="shared" si="4"/>
        <v>2628.17</v>
      </c>
      <c r="H32" s="16">
        <f t="shared" si="5"/>
        <v>75089.17</v>
      </c>
      <c r="I32" s="16">
        <v>961939</v>
      </c>
      <c r="J32" s="16">
        <f t="shared" si="6"/>
        <v>10455.698334301864</v>
      </c>
      <c r="K32" s="16">
        <f t="shared" si="7"/>
        <v>2732.1586919752708</v>
      </c>
      <c r="L32" s="16">
        <f t="shared" si="8"/>
        <v>78060.220034742335</v>
      </c>
      <c r="M32" s="16">
        <f t="shared" si="9"/>
        <v>15474.772277296652</v>
      </c>
      <c r="N32" s="16">
        <f t="shared" si="10"/>
        <v>-59853.28906547041</v>
      </c>
      <c r="O32" s="18"/>
    </row>
    <row r="33" spans="1:15">
      <c r="A33" s="14">
        <v>6</v>
      </c>
      <c r="B33" s="15" t="s">
        <v>74</v>
      </c>
      <c r="C33" s="16">
        <v>524323</v>
      </c>
      <c r="D33" s="17">
        <f t="shared" si="3"/>
        <v>2.7256725937611297E-2</v>
      </c>
      <c r="E33" s="16">
        <v>97968</v>
      </c>
      <c r="F33" s="16">
        <f>73736+244</f>
        <v>73980</v>
      </c>
      <c r="G33" s="16">
        <f t="shared" si="4"/>
        <v>23988</v>
      </c>
      <c r="H33" s="16">
        <f t="shared" si="5"/>
        <v>548311</v>
      </c>
      <c r="I33" s="16">
        <v>7405743</v>
      </c>
      <c r="J33" s="16">
        <f t="shared" si="6"/>
        <v>9989.5446007240589</v>
      </c>
      <c r="K33" s="16">
        <f t="shared" si="7"/>
        <v>3239.1078113296667</v>
      </c>
      <c r="L33" s="16">
        <f t="shared" si="8"/>
        <v>74038.621107969855</v>
      </c>
      <c r="M33" s="16">
        <f t="shared" si="9"/>
        <v>11453.173350524172</v>
      </c>
      <c r="N33" s="16">
        <f t="shared" si="10"/>
        <v>-59346.339946116015</v>
      </c>
      <c r="O33" s="18"/>
    </row>
    <row r="34" spans="1:15">
      <c r="A34" s="14">
        <v>7</v>
      </c>
      <c r="B34" s="15" t="s">
        <v>71</v>
      </c>
      <c r="C34" s="16">
        <v>542979</v>
      </c>
      <c r="D34" s="17">
        <f t="shared" si="3"/>
        <v>2.82265507957466E-2</v>
      </c>
      <c r="E34" s="16">
        <v>38913</v>
      </c>
      <c r="F34" s="16">
        <v>96218</v>
      </c>
      <c r="G34" s="16">
        <f t="shared" si="4"/>
        <v>-57305</v>
      </c>
      <c r="H34" s="16">
        <f t="shared" si="5"/>
        <v>485674</v>
      </c>
      <c r="I34" s="16">
        <v>6859819</v>
      </c>
      <c r="J34" s="16">
        <f t="shared" si="6"/>
        <v>14026.317604006754</v>
      </c>
      <c r="K34" s="16">
        <f t="shared" si="7"/>
        <v>-8353.7189538091316</v>
      </c>
      <c r="L34" s="16">
        <f t="shared" si="8"/>
        <v>70799.827225762085</v>
      </c>
      <c r="M34" s="16">
        <f t="shared" si="9"/>
        <v>8214.3794683164015</v>
      </c>
      <c r="N34" s="16">
        <f t="shared" si="10"/>
        <v>-70939.166711254817</v>
      </c>
      <c r="O34" s="18"/>
    </row>
    <row r="35" spans="1:15">
      <c r="A35" s="14">
        <v>8</v>
      </c>
      <c r="B35" s="15" t="s">
        <v>46</v>
      </c>
      <c r="C35" s="16">
        <v>2797601</v>
      </c>
      <c r="D35" s="17">
        <f t="shared" si="3"/>
        <v>0.14543219301801999</v>
      </c>
      <c r="E35" s="16">
        <v>270288.36599999998</v>
      </c>
      <c r="F35" s="16">
        <v>291630.44099999999</v>
      </c>
      <c r="G35" s="16">
        <f t="shared" si="4"/>
        <v>-21342.075000000012</v>
      </c>
      <c r="H35" s="16">
        <f t="shared" si="5"/>
        <v>2776258.9249999998</v>
      </c>
      <c r="I35" s="16">
        <v>39536653</v>
      </c>
      <c r="J35" s="16">
        <f t="shared" si="6"/>
        <v>7376.2045816068448</v>
      </c>
      <c r="K35" s="16">
        <f t="shared" si="7"/>
        <v>-539.80479834749826</v>
      </c>
      <c r="L35" s="16">
        <f t="shared" si="8"/>
        <v>70219.877362911822</v>
      </c>
      <c r="M35" s="16">
        <f t="shared" si="9"/>
        <v>7634.429605466139</v>
      </c>
      <c r="N35" s="16">
        <f t="shared" si="10"/>
        <v>-63125.25255579318</v>
      </c>
      <c r="O35" s="18"/>
    </row>
    <row r="36" spans="1:15">
      <c r="A36" s="14">
        <v>9</v>
      </c>
      <c r="B36" s="15" t="s">
        <v>127</v>
      </c>
      <c r="C36" s="16">
        <v>119588</v>
      </c>
      <c r="D36" s="17">
        <f t="shared" si="3"/>
        <v>6.2167353738574495E-3</v>
      </c>
      <c r="E36" s="16">
        <f>14930.775+310.291</f>
        <v>15241.065999999999</v>
      </c>
      <c r="F36" s="16">
        <f>2238.264+166.305</f>
        <v>2404.569</v>
      </c>
      <c r="G36" s="16">
        <f t="shared" si="4"/>
        <v>12836.496999999999</v>
      </c>
      <c r="H36" s="16">
        <f t="shared" si="5"/>
        <v>132424.497</v>
      </c>
      <c r="I36" s="16">
        <v>1920076</v>
      </c>
      <c r="J36" s="16">
        <f t="shared" si="6"/>
        <v>1252.3301160995711</v>
      </c>
      <c r="K36" s="16">
        <f t="shared" si="7"/>
        <v>6685.4108899856046</v>
      </c>
      <c r="L36" s="16">
        <f t="shared" si="8"/>
        <v>68968.36218982999</v>
      </c>
      <c r="M36" s="16">
        <f t="shared" si="9"/>
        <v>6382.9144323843066</v>
      </c>
      <c r="N36" s="16">
        <f t="shared" si="10"/>
        <v>-55900.036867460076</v>
      </c>
      <c r="O36" s="18"/>
    </row>
    <row r="37" spans="1:15">
      <c r="A37" s="14">
        <v>10</v>
      </c>
      <c r="B37" s="15" t="s">
        <v>84</v>
      </c>
      <c r="C37" s="16">
        <v>350179</v>
      </c>
      <c r="D37" s="17">
        <f t="shared" si="3"/>
        <v>1.8203918256698228E-2</v>
      </c>
      <c r="E37" s="16">
        <f>39866+9404</f>
        <v>49270</v>
      </c>
      <c r="F37" s="16">
        <f>31176+1645</f>
        <v>32821</v>
      </c>
      <c r="G37" s="16">
        <f t="shared" si="4"/>
        <v>16449</v>
      </c>
      <c r="H37" s="16">
        <f t="shared" si="5"/>
        <v>366628</v>
      </c>
      <c r="I37" s="16">
        <v>5576606</v>
      </c>
      <c r="J37" s="16">
        <f t="shared" si="6"/>
        <v>5885.4794475349345</v>
      </c>
      <c r="K37" s="16">
        <f t="shared" si="7"/>
        <v>2949.6435645623878</v>
      </c>
      <c r="L37" s="16">
        <f t="shared" si="8"/>
        <v>65743.930985979649</v>
      </c>
      <c r="M37" s="16">
        <f t="shared" si="9"/>
        <v>3158.4832285339653</v>
      </c>
      <c r="N37" s="16">
        <f t="shared" si="10"/>
        <v>-59635.804192883297</v>
      </c>
      <c r="O37" s="18"/>
    </row>
    <row r="38" spans="1:15">
      <c r="A38" s="14">
        <v>11</v>
      </c>
      <c r="B38" s="15" t="s">
        <v>80</v>
      </c>
      <c r="C38" s="16">
        <v>399538</v>
      </c>
      <c r="D38" s="17">
        <f t="shared" si="3"/>
        <v>2.0769826552833544E-2</v>
      </c>
      <c r="E38" s="16">
        <f>44504+6249</f>
        <v>50753</v>
      </c>
      <c r="F38" s="16">
        <f>51574+1686</f>
        <v>53260</v>
      </c>
      <c r="G38" s="16">
        <f t="shared" si="4"/>
        <v>-2507</v>
      </c>
      <c r="H38" s="16">
        <f t="shared" si="5"/>
        <v>397031</v>
      </c>
      <c r="I38" s="16">
        <v>6052177</v>
      </c>
      <c r="J38" s="16">
        <f t="shared" si="6"/>
        <v>8800.1391895841771</v>
      </c>
      <c r="K38" s="16">
        <f t="shared" si="7"/>
        <v>-414.2311105574077</v>
      </c>
      <c r="L38" s="16">
        <f t="shared" si="8"/>
        <v>65601.353033792635</v>
      </c>
      <c r="M38" s="16">
        <f t="shared" si="9"/>
        <v>3015.9052763469517</v>
      </c>
      <c r="N38" s="16">
        <f t="shared" si="10"/>
        <v>-62999.678868003088</v>
      </c>
      <c r="O38" s="18"/>
    </row>
    <row r="39" spans="1:15">
      <c r="A39" s="14">
        <v>12</v>
      </c>
      <c r="B39" s="15" t="s">
        <v>158</v>
      </c>
      <c r="C39" s="16">
        <v>49813</v>
      </c>
      <c r="D39" s="17">
        <f t="shared" si="3"/>
        <v>2.5895093084419936E-3</v>
      </c>
      <c r="E39" s="16">
        <f>7463.806+191.13</f>
        <v>7654.9359999999997</v>
      </c>
      <c r="F39" s="16">
        <f>1140.298+0.875</f>
        <v>1141.173</v>
      </c>
      <c r="G39" s="16">
        <f t="shared" si="4"/>
        <v>6513.7629999999999</v>
      </c>
      <c r="H39" s="16">
        <f t="shared" si="5"/>
        <v>56326.762999999999</v>
      </c>
      <c r="I39" s="16">
        <v>869666</v>
      </c>
      <c r="J39" s="16">
        <f t="shared" si="6"/>
        <v>1312.1968663831863</v>
      </c>
      <c r="K39" s="16">
        <f t="shared" si="7"/>
        <v>7489.959363709746</v>
      </c>
      <c r="L39" s="16">
        <f t="shared" si="8"/>
        <v>64768.270807413421</v>
      </c>
      <c r="M39" s="16">
        <f t="shared" si="9"/>
        <v>2182.8230499677375</v>
      </c>
      <c r="N39" s="16">
        <f t="shared" si="10"/>
        <v>-55095.488393735941</v>
      </c>
      <c r="O39" s="18"/>
    </row>
    <row r="40" spans="1:15">
      <c r="A40" s="14">
        <v>13</v>
      </c>
      <c r="B40" s="15" t="s">
        <v>53</v>
      </c>
      <c r="C40" s="16">
        <v>1645136</v>
      </c>
      <c r="D40" s="17">
        <f t="shared" si="3"/>
        <v>8.5521751062032553E-2</v>
      </c>
      <c r="E40" s="16">
        <f>307916.117+12796.252</f>
        <v>320712.36900000001</v>
      </c>
      <c r="F40" s="16">
        <f>136870.485+16156.231</f>
        <v>153026.71599999999</v>
      </c>
      <c r="G40" s="16">
        <f t="shared" si="4"/>
        <v>167685.65300000002</v>
      </c>
      <c r="H40" s="16">
        <f t="shared" si="5"/>
        <v>1812821.6529999999</v>
      </c>
      <c r="I40" s="16">
        <v>28304596</v>
      </c>
      <c r="J40" s="16">
        <f t="shared" si="6"/>
        <v>5406.426433360858</v>
      </c>
      <c r="K40" s="16">
        <f t="shared" si="7"/>
        <v>5924.325964588932</v>
      </c>
      <c r="L40" s="16">
        <f t="shared" si="8"/>
        <v>64046.900828402569</v>
      </c>
      <c r="M40" s="16">
        <f t="shared" si="9"/>
        <v>1461.4530709568862</v>
      </c>
      <c r="N40" s="16">
        <f t="shared" si="10"/>
        <v>-56661.121792856749</v>
      </c>
      <c r="O40" s="18"/>
    </row>
    <row r="41" spans="1:15">
      <c r="A41" s="14">
        <v>14</v>
      </c>
      <c r="B41" s="15" t="s">
        <v>90</v>
      </c>
      <c r="C41" s="16">
        <v>345233</v>
      </c>
      <c r="D41" s="17">
        <f t="shared" si="3"/>
        <v>1.7946802382537787E-2</v>
      </c>
      <c r="E41" s="16">
        <f>37447+5836</f>
        <v>43283</v>
      </c>
      <c r="F41" s="16">
        <f>29701+305</f>
        <v>30006</v>
      </c>
      <c r="G41" s="16">
        <f t="shared" si="4"/>
        <v>13277</v>
      </c>
      <c r="H41" s="16">
        <f t="shared" si="5"/>
        <v>358510</v>
      </c>
      <c r="I41" s="16">
        <v>5607154</v>
      </c>
      <c r="J41" s="16">
        <f t="shared" si="6"/>
        <v>5351.377900446465</v>
      </c>
      <c r="K41" s="16">
        <f t="shared" si="7"/>
        <v>2367.8679058930788</v>
      </c>
      <c r="L41" s="16">
        <f t="shared" si="8"/>
        <v>63937.962110546636</v>
      </c>
      <c r="M41" s="16">
        <f t="shared" si="9"/>
        <v>1352.5143531009526</v>
      </c>
      <c r="N41" s="16">
        <f t="shared" si="10"/>
        <v>-60217.579851552604</v>
      </c>
      <c r="O41" s="18"/>
    </row>
    <row r="42" spans="1:15">
      <c r="A42" s="14">
        <v>15</v>
      </c>
      <c r="B42" s="15" t="s">
        <v>112</v>
      </c>
      <c r="C42" s="16">
        <v>183930</v>
      </c>
      <c r="D42" s="17">
        <f t="shared" si="3"/>
        <v>9.5615290607218174E-3</v>
      </c>
      <c r="E42" s="16">
        <f>24676.1+481.1</f>
        <v>25157.199999999997</v>
      </c>
      <c r="F42" s="16">
        <f>8373+109.6</f>
        <v>8482.6</v>
      </c>
      <c r="G42" s="16">
        <f t="shared" si="4"/>
        <v>16674.599999999999</v>
      </c>
      <c r="H42" s="16">
        <f t="shared" si="5"/>
        <v>200604.6</v>
      </c>
      <c r="I42" s="16">
        <v>3145711</v>
      </c>
      <c r="J42" s="16">
        <f t="shared" si="6"/>
        <v>2696.5604914119576</v>
      </c>
      <c r="K42" s="16">
        <f t="shared" si="7"/>
        <v>5300.7412314735839</v>
      </c>
      <c r="L42" s="16">
        <f t="shared" si="8"/>
        <v>63770.829551729323</v>
      </c>
      <c r="M42" s="16">
        <f t="shared" si="9"/>
        <v>1185.3817942836395</v>
      </c>
      <c r="N42" s="16">
        <f t="shared" si="10"/>
        <v>-57284.706525972098</v>
      </c>
      <c r="O42" s="18"/>
    </row>
    <row r="43" spans="1:15">
      <c r="A43" s="14">
        <v>16</v>
      </c>
      <c r="B43" s="15" t="s">
        <v>77</v>
      </c>
      <c r="C43" s="16">
        <v>510586</v>
      </c>
      <c r="D43" s="17">
        <f t="shared" si="3"/>
        <v>2.6542613369204101E-2</v>
      </c>
      <c r="E43" s="16">
        <v>47693</v>
      </c>
      <c r="F43" s="16">
        <v>24606</v>
      </c>
      <c r="G43" s="16">
        <f t="shared" si="4"/>
        <v>23087</v>
      </c>
      <c r="H43" s="16">
        <f t="shared" si="5"/>
        <v>533673</v>
      </c>
      <c r="I43" s="16">
        <v>8470020</v>
      </c>
      <c r="J43" s="16">
        <f t="shared" si="6"/>
        <v>2905.0698817712355</v>
      </c>
      <c r="K43" s="16">
        <f t="shared" si="7"/>
        <v>2725.7314622633712</v>
      </c>
      <c r="L43" s="16">
        <f t="shared" si="8"/>
        <v>63007.28923898645</v>
      </c>
      <c r="M43" s="16">
        <f t="shared" si="9"/>
        <v>421.84148154076684</v>
      </c>
      <c r="N43" s="16">
        <f t="shared" si="10"/>
        <v>-59859.716295182312</v>
      </c>
      <c r="O43" s="18"/>
    </row>
    <row r="44" spans="1:15">
      <c r="A44" s="14">
        <v>17</v>
      </c>
      <c r="B44" s="15" t="s">
        <v>97</v>
      </c>
      <c r="C44" s="16">
        <v>264510</v>
      </c>
      <c r="D44" s="17">
        <f t="shared" si="3"/>
        <v>1.3750448822114543E-2</v>
      </c>
      <c r="E44" s="16">
        <f>30091+11198</f>
        <v>41289</v>
      </c>
      <c r="F44" s="16">
        <f>79618+331</f>
        <v>79949</v>
      </c>
      <c r="G44" s="16">
        <f t="shared" si="4"/>
        <v>-38660</v>
      </c>
      <c r="H44" s="16">
        <f t="shared" si="5"/>
        <v>225850</v>
      </c>
      <c r="I44" s="16">
        <v>3588184</v>
      </c>
      <c r="J44" s="16">
        <f t="shared" si="6"/>
        <v>22281.187363858709</v>
      </c>
      <c r="K44" s="16">
        <f t="shared" si="7"/>
        <v>-10774.252379476638</v>
      </c>
      <c r="L44" s="16">
        <f t="shared" si="8"/>
        <v>62942.703049787859</v>
      </c>
      <c r="M44" s="16">
        <f t="shared" si="9"/>
        <v>357.25529234217538</v>
      </c>
      <c r="N44" s="16">
        <f t="shared" si="10"/>
        <v>-73359.700136922329</v>
      </c>
      <c r="O44" s="18"/>
    </row>
    <row r="45" spans="1:15">
      <c r="A45" s="14">
        <v>18</v>
      </c>
      <c r="B45" s="15" t="s">
        <v>150</v>
      </c>
      <c r="C45" s="16">
        <v>81650</v>
      </c>
      <c r="D45" s="17">
        <f t="shared" si="3"/>
        <v>4.2445432926001003E-3</v>
      </c>
      <c r="E45" s="16">
        <f>6993.276+308.273</f>
        <v>7301.549</v>
      </c>
      <c r="F45" s="16">
        <f>4668.441+42.136</f>
        <v>4710.5770000000002</v>
      </c>
      <c r="G45" s="16">
        <f t="shared" si="4"/>
        <v>2590.9719999999998</v>
      </c>
      <c r="H45" s="16">
        <f t="shared" si="5"/>
        <v>84240.971999999994</v>
      </c>
      <c r="I45" s="16">
        <v>1342795</v>
      </c>
      <c r="J45" s="16">
        <f t="shared" si="6"/>
        <v>3508.0388294564696</v>
      </c>
      <c r="K45" s="16">
        <f t="shared" si="7"/>
        <v>1929.5365264243608</v>
      </c>
      <c r="L45" s="16">
        <f t="shared" si="8"/>
        <v>62735.541910716078</v>
      </c>
      <c r="M45" s="16">
        <f t="shared" si="9"/>
        <v>150.0941532703946</v>
      </c>
      <c r="N45" s="16">
        <f t="shared" si="10"/>
        <v>-60655.911231021324</v>
      </c>
      <c r="O45" s="18"/>
    </row>
    <row r="46" spans="1:15">
      <c r="A46" s="14">
        <v>19</v>
      </c>
      <c r="B46" s="15" t="s">
        <v>149</v>
      </c>
      <c r="C46" s="16">
        <v>88448</v>
      </c>
      <c r="D46" s="17">
        <f t="shared" si="3"/>
        <v>4.5979346618970438E-3</v>
      </c>
      <c r="E46" s="16">
        <f>21560.25+2477.324</f>
        <v>24037.574000000001</v>
      </c>
      <c r="F46" s="16">
        <f>22857.899+115.278</f>
        <v>22973.177</v>
      </c>
      <c r="G46" s="16">
        <f t="shared" si="4"/>
        <v>1064.3970000000008</v>
      </c>
      <c r="H46" s="16">
        <f t="shared" si="5"/>
        <v>89512.396999999997</v>
      </c>
      <c r="I46" s="16">
        <v>1427538</v>
      </c>
      <c r="J46" s="16">
        <f t="shared" si="6"/>
        <v>16092.865478887426</v>
      </c>
      <c r="K46" s="16">
        <f t="shared" si="7"/>
        <v>745.61727954001981</v>
      </c>
      <c r="L46" s="16">
        <f t="shared" si="8"/>
        <v>62704.03800108999</v>
      </c>
      <c r="M46" s="16">
        <f t="shared" si="9"/>
        <v>118.59024364430661</v>
      </c>
      <c r="N46" s="16">
        <f t="shared" si="10"/>
        <v>-61839.830477905663</v>
      </c>
      <c r="O46" s="18"/>
    </row>
    <row r="47" spans="1:15">
      <c r="A47" s="14">
        <v>20</v>
      </c>
      <c r="B47" s="15" t="s">
        <v>115</v>
      </c>
      <c r="C47" s="16">
        <v>164917</v>
      </c>
      <c r="D47" s="17">
        <f t="shared" si="3"/>
        <v>8.5731456973145211E-3</v>
      </c>
      <c r="E47" s="16">
        <f>31569.361+457.284</f>
        <v>32026.645</v>
      </c>
      <c r="F47" s="16">
        <f>7060.615+166.502</f>
        <v>7227.1170000000002</v>
      </c>
      <c r="G47" s="16">
        <f t="shared" si="4"/>
        <v>24799.527999999998</v>
      </c>
      <c r="H47" s="16">
        <f t="shared" si="5"/>
        <v>189716.52799999999</v>
      </c>
      <c r="I47" s="16">
        <v>3101833</v>
      </c>
      <c r="J47" s="16">
        <f t="shared" si="6"/>
        <v>2329.9503873999665</v>
      </c>
      <c r="K47" s="16">
        <f t="shared" si="7"/>
        <v>7995.1203046714636</v>
      </c>
      <c r="L47" s="16">
        <f t="shared" si="8"/>
        <v>61162.715078471345</v>
      </c>
      <c r="M47" s="16">
        <f t="shared" si="9"/>
        <v>-1422.7326789743383</v>
      </c>
      <c r="N47" s="16">
        <f t="shared" si="10"/>
        <v>-54590.327452774218</v>
      </c>
      <c r="O47" s="18"/>
    </row>
    <row r="48" spans="1:15">
      <c r="A48" s="14">
        <v>21</v>
      </c>
      <c r="B48" s="15" t="s">
        <v>49</v>
      </c>
      <c r="C48" s="16">
        <v>756269</v>
      </c>
      <c r="D48" s="17">
        <f t="shared" si="3"/>
        <v>3.9314347965111879E-2</v>
      </c>
      <c r="E48" s="16">
        <f>67128.399+3608.424</f>
        <v>70736.823000000004</v>
      </c>
      <c r="F48" s="16">
        <f>56721.613+860.915</f>
        <v>57582.527999999998</v>
      </c>
      <c r="G48" s="16">
        <f t="shared" si="4"/>
        <v>13154.295000000006</v>
      </c>
      <c r="H48" s="16">
        <f t="shared" si="5"/>
        <v>769423.29500000004</v>
      </c>
      <c r="I48" s="16">
        <v>12805537</v>
      </c>
      <c r="J48" s="16">
        <f t="shared" si="6"/>
        <v>4496.6898303444832</v>
      </c>
      <c r="K48" s="16">
        <f t="shared" si="7"/>
        <v>1027.2349375117972</v>
      </c>
      <c r="L48" s="16">
        <f t="shared" si="8"/>
        <v>60085.203377257822</v>
      </c>
      <c r="M48" s="16">
        <f t="shared" si="9"/>
        <v>-2500.2443801878617</v>
      </c>
      <c r="N48" s="16">
        <f t="shared" si="10"/>
        <v>-61558.212819933884</v>
      </c>
      <c r="O48" s="18"/>
    </row>
    <row r="49" spans="1:15">
      <c r="A49" s="14">
        <v>22</v>
      </c>
      <c r="B49" s="15" t="s">
        <v>93</v>
      </c>
      <c r="C49" s="16">
        <v>321373</v>
      </c>
      <c r="D49" s="17">
        <f t="shared" si="3"/>
        <v>1.6706449621221947E-2</v>
      </c>
      <c r="E49" s="16">
        <f>45849+2151</f>
        <v>48000</v>
      </c>
      <c r="F49" s="16">
        <f>22639+755</f>
        <v>23394</v>
      </c>
      <c r="G49" s="16">
        <f t="shared" si="4"/>
        <v>24606</v>
      </c>
      <c r="H49" s="16">
        <f t="shared" si="5"/>
        <v>345979</v>
      </c>
      <c r="I49" s="16">
        <v>5795483</v>
      </c>
      <c r="J49" s="16">
        <f t="shared" si="6"/>
        <v>4036.5919458309168</v>
      </c>
      <c r="K49" s="16">
        <f t="shared" si="7"/>
        <v>4245.720330816258</v>
      </c>
      <c r="L49" s="16">
        <f t="shared" si="8"/>
        <v>59698.044149210684</v>
      </c>
      <c r="M49" s="16">
        <f t="shared" si="9"/>
        <v>-2887.4036082349994</v>
      </c>
      <c r="N49" s="16">
        <f t="shared" si="10"/>
        <v>-58339.727426629426</v>
      </c>
      <c r="O49" s="18"/>
    </row>
    <row r="50" spans="1:15">
      <c r="A50" s="14">
        <v>23</v>
      </c>
      <c r="B50" s="15" t="s">
        <v>102</v>
      </c>
      <c r="C50" s="16">
        <v>227155</v>
      </c>
      <c r="D50" s="17">
        <f t="shared" si="3"/>
        <v>1.1808563767673922E-2</v>
      </c>
      <c r="E50" s="16">
        <f>34648+1809</f>
        <v>36457</v>
      </c>
      <c r="F50" s="16">
        <f>19303+35</f>
        <v>19338</v>
      </c>
      <c r="G50" s="16">
        <f t="shared" si="4"/>
        <v>17119</v>
      </c>
      <c r="H50" s="16">
        <f t="shared" si="5"/>
        <v>244274</v>
      </c>
      <c r="I50" s="16">
        <v>4142776</v>
      </c>
      <c r="J50" s="16">
        <f t="shared" si="6"/>
        <v>4667.884529600442</v>
      </c>
      <c r="K50" s="16">
        <f t="shared" si="7"/>
        <v>4132.2533489621455</v>
      </c>
      <c r="L50" s="16">
        <f t="shared" si="8"/>
        <v>58963.844533230855</v>
      </c>
      <c r="M50" s="16">
        <f t="shared" si="9"/>
        <v>-3621.6032242148285</v>
      </c>
      <c r="N50" s="16">
        <f t="shared" si="10"/>
        <v>-58453.194408483541</v>
      </c>
      <c r="O50" s="18"/>
    </row>
    <row r="51" spans="1:15">
      <c r="A51" s="14">
        <v>24</v>
      </c>
      <c r="B51" s="15" t="s">
        <v>133</v>
      </c>
      <c r="C51" s="16">
        <v>94211</v>
      </c>
      <c r="D51" s="17">
        <f t="shared" si="3"/>
        <v>4.89752196128779E-3</v>
      </c>
      <c r="E51" s="16">
        <f>39818.775+1368.792</f>
        <v>41187.567000000003</v>
      </c>
      <c r="F51" s="16">
        <f>13088.54+90.509</f>
        <v>13179.049000000001</v>
      </c>
      <c r="G51" s="16">
        <f t="shared" si="4"/>
        <v>28008.518000000004</v>
      </c>
      <c r="H51" s="16">
        <f t="shared" si="5"/>
        <v>122219.51800000001</v>
      </c>
      <c r="I51" s="16">
        <v>2088070</v>
      </c>
      <c r="J51" s="16">
        <f t="shared" si="6"/>
        <v>6311.593481061459</v>
      </c>
      <c r="K51" s="16">
        <f t="shared" si="7"/>
        <v>13413.591498369309</v>
      </c>
      <c r="L51" s="16">
        <f t="shared" si="8"/>
        <v>58532.289626305639</v>
      </c>
      <c r="M51" s="16">
        <f t="shared" si="9"/>
        <v>-4053.1581311400441</v>
      </c>
      <c r="N51" s="16">
        <f t="shared" si="10"/>
        <v>-49171.856259076376</v>
      </c>
      <c r="O51" s="18"/>
    </row>
    <row r="52" spans="1:15">
      <c r="A52" s="14">
        <v>25</v>
      </c>
      <c r="B52" s="15" t="s">
        <v>70</v>
      </c>
      <c r="C52" s="16">
        <v>540497</v>
      </c>
      <c r="D52" s="17">
        <f t="shared" si="3"/>
        <v>2.8097524997188931E-2</v>
      </c>
      <c r="E52" s="16">
        <f>69711+1805</f>
        <v>71516</v>
      </c>
      <c r="F52" s="16">
        <f>15955+144</f>
        <v>16099</v>
      </c>
      <c r="G52" s="16">
        <f t="shared" si="4"/>
        <v>55417</v>
      </c>
      <c r="H52" s="16">
        <f t="shared" si="5"/>
        <v>595914</v>
      </c>
      <c r="I52" s="16">
        <v>10273419</v>
      </c>
      <c r="J52" s="16">
        <f t="shared" si="6"/>
        <v>1567.0537724588085</v>
      </c>
      <c r="K52" s="16">
        <f t="shared" si="7"/>
        <v>5394.2119950524748</v>
      </c>
      <c r="L52" s="16">
        <f t="shared" si="8"/>
        <v>58005.421564135562</v>
      </c>
      <c r="M52" s="16">
        <f t="shared" si="9"/>
        <v>-4580.026193310121</v>
      </c>
      <c r="N52" s="16">
        <f t="shared" si="10"/>
        <v>-57191.235762393211</v>
      </c>
      <c r="O52" s="18"/>
    </row>
    <row r="53" spans="1:15">
      <c r="A53" s="14">
        <v>26</v>
      </c>
      <c r="B53" s="15" t="s">
        <v>50</v>
      </c>
      <c r="C53" s="16">
        <v>645747</v>
      </c>
      <c r="D53" s="17">
        <f t="shared" si="3"/>
        <v>3.3568905052867568E-2</v>
      </c>
      <c r="E53" s="16">
        <v>83898.425000000003</v>
      </c>
      <c r="F53" s="16">
        <v>54190.927000000003</v>
      </c>
      <c r="G53" s="16">
        <f t="shared" si="4"/>
        <v>29707.498</v>
      </c>
      <c r="H53" s="16">
        <f t="shared" si="5"/>
        <v>675454.49800000002</v>
      </c>
      <c r="I53" s="16">
        <v>11658609</v>
      </c>
      <c r="J53" s="16">
        <f t="shared" si="6"/>
        <v>4648.1468758408482</v>
      </c>
      <c r="K53" s="16">
        <f t="shared" si="7"/>
        <v>2548.1168465294618</v>
      </c>
      <c r="L53" s="16">
        <f t="shared" si="8"/>
        <v>57936.113819410188</v>
      </c>
      <c r="M53" s="16">
        <f t="shared" si="9"/>
        <v>-4649.3339380354955</v>
      </c>
      <c r="N53" s="16">
        <f t="shared" si="10"/>
        <v>-60037.330910916222</v>
      </c>
      <c r="O53" s="18"/>
    </row>
    <row r="54" spans="1:15">
      <c r="A54" s="14">
        <v>27</v>
      </c>
      <c r="B54" s="15" t="s">
        <v>119</v>
      </c>
      <c r="C54" s="16">
        <v>159108</v>
      </c>
      <c r="D54" s="17">
        <f t="shared" si="3"/>
        <v>8.2711671059279446E-3</v>
      </c>
      <c r="E54" s="16">
        <f>17683.432+459.273</f>
        <v>18142.705000000002</v>
      </c>
      <c r="F54" s="16">
        <f>8885.769+150.814</f>
        <v>9036.5830000000005</v>
      </c>
      <c r="G54" s="16">
        <f t="shared" si="4"/>
        <v>9106.1220000000012</v>
      </c>
      <c r="H54" s="16">
        <f t="shared" si="5"/>
        <v>168214.122</v>
      </c>
      <c r="I54" s="16">
        <v>2913123</v>
      </c>
      <c r="J54" s="16">
        <f t="shared" si="6"/>
        <v>3102.025901412333</v>
      </c>
      <c r="K54" s="16">
        <f t="shared" si="7"/>
        <v>3125.8968467860786</v>
      </c>
      <c r="L54" s="16">
        <f t="shared" si="8"/>
        <v>57743.570044931163</v>
      </c>
      <c r="M54" s="16">
        <f t="shared" si="9"/>
        <v>-4841.8777125145207</v>
      </c>
      <c r="N54" s="16">
        <f t="shared" si="10"/>
        <v>-59459.550910659607</v>
      </c>
      <c r="O54" s="18"/>
    </row>
    <row r="55" spans="1:15">
      <c r="A55" s="14">
        <v>28</v>
      </c>
      <c r="B55" s="15" t="s">
        <v>88</v>
      </c>
      <c r="C55" s="16">
        <v>349569</v>
      </c>
      <c r="D55" s="17">
        <f t="shared" si="3"/>
        <v>1.8172207645449166E-2</v>
      </c>
      <c r="E55" s="16">
        <f>42124+694</f>
        <v>42818</v>
      </c>
      <c r="F55" s="16">
        <f>6955+82</f>
        <v>7037</v>
      </c>
      <c r="G55" s="16">
        <f t="shared" si="4"/>
        <v>35781</v>
      </c>
      <c r="H55" s="16">
        <f t="shared" si="5"/>
        <v>385350</v>
      </c>
      <c r="I55" s="16">
        <v>6715984</v>
      </c>
      <c r="J55" s="16">
        <f t="shared" si="6"/>
        <v>1047.7988035707053</v>
      </c>
      <c r="K55" s="16">
        <f t="shared" si="7"/>
        <v>5327.7375288565308</v>
      </c>
      <c r="L55" s="16">
        <f t="shared" si="8"/>
        <v>57378.040209744395</v>
      </c>
      <c r="M55" s="16">
        <f t="shared" si="9"/>
        <v>-5207.4075477012884</v>
      </c>
      <c r="N55" s="16">
        <f t="shared" si="10"/>
        <v>-57257.710228589152</v>
      </c>
      <c r="O55" s="18"/>
    </row>
    <row r="56" spans="1:15">
      <c r="A56" s="14">
        <v>29</v>
      </c>
      <c r="B56" s="15" t="s">
        <v>52</v>
      </c>
      <c r="C56" s="16">
        <v>563608</v>
      </c>
      <c r="D56" s="17">
        <f t="shared" si="3"/>
        <v>2.9298941286659611E-2</v>
      </c>
      <c r="E56" s="16">
        <f>55185.998+2646.168</f>
        <v>57832.165999999997</v>
      </c>
      <c r="F56" s="16">
        <f>32574.479+951.903</f>
        <v>33526.381999999998</v>
      </c>
      <c r="G56" s="16">
        <f t="shared" si="4"/>
        <v>24305.784</v>
      </c>
      <c r="H56" s="16">
        <f t="shared" si="5"/>
        <v>587913.78399999999</v>
      </c>
      <c r="I56" s="16">
        <v>10429379</v>
      </c>
      <c r="J56" s="16">
        <f t="shared" si="6"/>
        <v>3214.6096138609973</v>
      </c>
      <c r="K56" s="16">
        <f t="shared" si="7"/>
        <v>2330.5111454862267</v>
      </c>
      <c r="L56" s="16">
        <f t="shared" si="8"/>
        <v>56370.92908408065</v>
      </c>
      <c r="M56" s="16">
        <f t="shared" si="9"/>
        <v>-6214.5186733650335</v>
      </c>
      <c r="N56" s="16">
        <f t="shared" si="10"/>
        <v>-60254.936611959456</v>
      </c>
      <c r="O56" s="18"/>
    </row>
    <row r="57" spans="1:15">
      <c r="A57" s="14">
        <v>30</v>
      </c>
      <c r="B57" s="15" t="s">
        <v>155</v>
      </c>
      <c r="C57" s="16">
        <v>59306</v>
      </c>
      <c r="D57" s="17">
        <f t="shared" si="3"/>
        <v>3.0829991979294739E-3</v>
      </c>
      <c r="E57" s="16">
        <f>7218.364+589.714</f>
        <v>7808.0779999999995</v>
      </c>
      <c r="F57" s="16">
        <f>7792.333+153.815</f>
        <v>7946.1479999999992</v>
      </c>
      <c r="G57" s="16">
        <f t="shared" si="4"/>
        <v>-138.06999999999971</v>
      </c>
      <c r="H57" s="16">
        <f t="shared" si="5"/>
        <v>59167.93</v>
      </c>
      <c r="I57" s="16">
        <v>1059639</v>
      </c>
      <c r="J57" s="16">
        <f t="shared" si="6"/>
        <v>7498.9199151786588</v>
      </c>
      <c r="K57" s="16">
        <f t="shared" si="7"/>
        <v>-130.29909242676015</v>
      </c>
      <c r="L57" s="16">
        <f t="shared" si="8"/>
        <v>55837.818351344184</v>
      </c>
      <c r="M57" s="16">
        <f t="shared" si="9"/>
        <v>-6747.6294061014996</v>
      </c>
      <c r="N57" s="16">
        <f t="shared" si="10"/>
        <v>-62715.746849872441</v>
      </c>
      <c r="O57" s="18"/>
    </row>
    <row r="58" spans="1:15">
      <c r="A58" s="14">
        <v>31</v>
      </c>
      <c r="B58" s="15" t="s">
        <v>120</v>
      </c>
      <c r="C58" s="16">
        <v>158302</v>
      </c>
      <c r="D58" s="17">
        <f t="shared" si="3"/>
        <v>8.2292675113922967E-3</v>
      </c>
      <c r="E58" s="16">
        <f>14207.763+435.381</f>
        <v>14643.144</v>
      </c>
      <c r="F58" s="16">
        <f>7525.889+183.889</f>
        <v>7709.7780000000002</v>
      </c>
      <c r="G58" s="16">
        <f t="shared" si="4"/>
        <v>6933.366</v>
      </c>
      <c r="H58" s="16">
        <f t="shared" si="5"/>
        <v>165235.36600000001</v>
      </c>
      <c r="I58" s="16">
        <v>2998039</v>
      </c>
      <c r="J58" s="16">
        <f t="shared" si="6"/>
        <v>2571.6069737585135</v>
      </c>
      <c r="K58" s="16">
        <f t="shared" si="7"/>
        <v>2312.6336915563807</v>
      </c>
      <c r="L58" s="16">
        <f t="shared" si="8"/>
        <v>55114.481832958147</v>
      </c>
      <c r="M58" s="16">
        <f t="shared" si="9"/>
        <v>-7470.9659244875365</v>
      </c>
      <c r="N58" s="16">
        <f t="shared" si="10"/>
        <v>-60272.814065889303</v>
      </c>
      <c r="O58" s="18"/>
    </row>
    <row r="59" spans="1:15">
      <c r="A59" s="14">
        <v>32</v>
      </c>
      <c r="B59" s="15" t="s">
        <v>82</v>
      </c>
      <c r="C59" s="16">
        <v>352273</v>
      </c>
      <c r="D59" s="17">
        <f t="shared" si="3"/>
        <v>1.8312774027117146E-2</v>
      </c>
      <c r="E59" s="16">
        <f>28094+1660</f>
        <v>29754</v>
      </c>
      <c r="F59" s="16">
        <f>17912+31</f>
        <v>17943</v>
      </c>
      <c r="G59" s="16">
        <f t="shared" si="4"/>
        <v>11811</v>
      </c>
      <c r="H59" s="16">
        <f t="shared" si="5"/>
        <v>364084</v>
      </c>
      <c r="I59" s="16">
        <v>6666818</v>
      </c>
      <c r="J59" s="16">
        <f t="shared" si="6"/>
        <v>2691.3889054718456</v>
      </c>
      <c r="K59" s="16">
        <f t="shared" si="7"/>
        <v>1771.6097844578928</v>
      </c>
      <c r="L59" s="16">
        <f t="shared" si="8"/>
        <v>54611.360322120687</v>
      </c>
      <c r="M59" s="16">
        <f t="shared" si="9"/>
        <v>-7974.0874353249965</v>
      </c>
      <c r="N59" s="16">
        <f t="shared" si="10"/>
        <v>-60813.837972987792</v>
      </c>
      <c r="O59" s="18"/>
    </row>
    <row r="60" spans="1:15">
      <c r="A60" s="14">
        <v>33</v>
      </c>
      <c r="B60" s="15" t="s">
        <v>95</v>
      </c>
      <c r="C60" s="16">
        <v>303763</v>
      </c>
      <c r="D60" s="17">
        <f t="shared" ref="D60:D91" si="11">C60/$C$78</f>
        <v>1.5791000663687497E-2</v>
      </c>
      <c r="E60" s="16">
        <f>42082+1853</f>
        <v>43935</v>
      </c>
      <c r="F60" s="16">
        <f>14702+162</f>
        <v>14864</v>
      </c>
      <c r="G60" s="16">
        <f t="shared" ref="G60:G91" si="12">E60-F60</f>
        <v>29071</v>
      </c>
      <c r="H60" s="16">
        <f t="shared" ref="H60:H91" si="13">C60+G60</f>
        <v>332834</v>
      </c>
      <c r="I60" s="16">
        <v>6113532</v>
      </c>
      <c r="J60" s="16">
        <f t="shared" ref="J60:J91" si="14">F60*1000000/I60</f>
        <v>2431.3277496543733</v>
      </c>
      <c r="K60" s="16">
        <f t="shared" ref="K60:K82" si="15">G60*1000000/I60</f>
        <v>4755.1889807724892</v>
      </c>
      <c r="L60" s="16">
        <f t="shared" ref="L60:L82" si="16">H60*1000000/I60</f>
        <v>54442.178433023662</v>
      </c>
      <c r="M60" s="16">
        <f t="shared" ref="M60:M91" si="17">L60+$E$87</f>
        <v>-8143.2693244220209</v>
      </c>
      <c r="N60" s="16">
        <f t="shared" ref="N60:N82" si="18">K60+$E$87</f>
        <v>-57830.258776673196</v>
      </c>
      <c r="O60" s="18"/>
    </row>
    <row r="61" spans="1:15">
      <c r="A61" s="14">
        <v>34</v>
      </c>
      <c r="B61" s="15" t="s">
        <v>161</v>
      </c>
      <c r="C61" s="16">
        <v>32545</v>
      </c>
      <c r="D61" s="17">
        <f t="shared" si="11"/>
        <v>1.6918390870504624E-3</v>
      </c>
      <c r="E61" s="16">
        <f>4853.959+594.815</f>
        <v>5448.7739999999994</v>
      </c>
      <c r="F61" s="16">
        <f>4061.038+114.543</f>
        <v>4175.5810000000001</v>
      </c>
      <c r="G61" s="16">
        <f t="shared" si="12"/>
        <v>1273.1929999999993</v>
      </c>
      <c r="H61" s="16">
        <f t="shared" si="13"/>
        <v>33818.192999999999</v>
      </c>
      <c r="I61" s="16">
        <v>623657</v>
      </c>
      <c r="J61" s="16">
        <f t="shared" si="14"/>
        <v>6695.3164960867916</v>
      </c>
      <c r="K61" s="16">
        <f t="shared" si="15"/>
        <v>2041.4955656715138</v>
      </c>
      <c r="L61" s="16">
        <f t="shared" si="16"/>
        <v>54225.628831232556</v>
      </c>
      <c r="M61" s="16">
        <f t="shared" si="17"/>
        <v>-8359.8189262131273</v>
      </c>
      <c r="N61" s="16">
        <f t="shared" si="18"/>
        <v>-60543.952191774166</v>
      </c>
      <c r="O61" s="18"/>
    </row>
    <row r="62" spans="1:15">
      <c r="A62" s="14">
        <v>35</v>
      </c>
      <c r="B62" s="15" t="s">
        <v>48</v>
      </c>
      <c r="C62" s="16">
        <v>822540</v>
      </c>
      <c r="D62" s="17">
        <f t="shared" si="11"/>
        <v>4.275941996197534E-2</v>
      </c>
      <c r="E62" s="16">
        <f>54303.871+26582.975</f>
        <v>80886.84599999999</v>
      </c>
      <c r="F62" s="16">
        <f>214780.473+2694.184</f>
        <v>217474.65700000001</v>
      </c>
      <c r="G62" s="16">
        <f t="shared" si="12"/>
        <v>-136587.81100000002</v>
      </c>
      <c r="H62" s="16">
        <f t="shared" si="13"/>
        <v>685952.18900000001</v>
      </c>
      <c r="I62" s="16">
        <v>12802023</v>
      </c>
      <c r="J62" s="16">
        <f t="shared" si="14"/>
        <v>16987.52275323986</v>
      </c>
      <c r="K62" s="16">
        <f t="shared" si="15"/>
        <v>-10669.236494888348</v>
      </c>
      <c r="L62" s="16">
        <f t="shared" si="16"/>
        <v>53581.546369663607</v>
      </c>
      <c r="M62" s="16">
        <f t="shared" si="17"/>
        <v>-9003.9013877820762</v>
      </c>
      <c r="N62" s="16">
        <f t="shared" si="18"/>
        <v>-73254.684252334031</v>
      </c>
      <c r="O62" s="18"/>
    </row>
    <row r="63" spans="1:15">
      <c r="A63" s="14">
        <v>36</v>
      </c>
      <c r="B63" s="15" t="s">
        <v>79</v>
      </c>
      <c r="C63" s="16">
        <v>508905</v>
      </c>
      <c r="D63" s="17">
        <f t="shared" si="11"/>
        <v>2.6455227242139057E-2</v>
      </c>
      <c r="E63" s="16">
        <f>42732.851+971.504</f>
        <v>43704.355000000003</v>
      </c>
      <c r="F63" s="16">
        <f>23643.176+45.515</f>
        <v>23688.690999999999</v>
      </c>
      <c r="G63" s="16">
        <f t="shared" si="12"/>
        <v>20015.664000000004</v>
      </c>
      <c r="H63" s="16">
        <f t="shared" si="13"/>
        <v>528920.66399999999</v>
      </c>
      <c r="I63" s="16">
        <v>9962311</v>
      </c>
      <c r="J63" s="16">
        <f t="shared" si="14"/>
        <v>2377.8309069050342</v>
      </c>
      <c r="K63" s="16">
        <f t="shared" si="15"/>
        <v>2009.1386426302095</v>
      </c>
      <c r="L63" s="16">
        <f t="shared" si="16"/>
        <v>53092.165462411285</v>
      </c>
      <c r="M63" s="16">
        <f t="shared" si="17"/>
        <v>-9493.282295034398</v>
      </c>
      <c r="N63" s="16">
        <f t="shared" si="18"/>
        <v>-60576.309114815471</v>
      </c>
      <c r="O63" s="18"/>
    </row>
    <row r="64" spans="1:15">
      <c r="A64" s="14">
        <v>37</v>
      </c>
      <c r="B64" s="15" t="s">
        <v>110</v>
      </c>
      <c r="C64" s="16">
        <v>188632</v>
      </c>
      <c r="D64" s="17">
        <f t="shared" si="11"/>
        <v>9.8059606903826337E-3</v>
      </c>
      <c r="E64" s="16">
        <f>23470+1102</f>
        <v>24572</v>
      </c>
      <c r="F64" s="16">
        <f>5380+325</f>
        <v>5705</v>
      </c>
      <c r="G64" s="16">
        <f t="shared" si="12"/>
        <v>18867</v>
      </c>
      <c r="H64" s="16">
        <f t="shared" si="13"/>
        <v>207499</v>
      </c>
      <c r="I64" s="16">
        <v>3930864</v>
      </c>
      <c r="J64" s="16">
        <f t="shared" si="14"/>
        <v>1451.3348719263754</v>
      </c>
      <c r="K64" s="16">
        <f t="shared" si="15"/>
        <v>4799.7081557642286</v>
      </c>
      <c r="L64" s="16">
        <f t="shared" si="16"/>
        <v>52787.122627493598</v>
      </c>
      <c r="M64" s="16">
        <f t="shared" si="17"/>
        <v>-9798.3251299520853</v>
      </c>
      <c r="N64" s="16">
        <f t="shared" si="18"/>
        <v>-57785.739601681453</v>
      </c>
      <c r="O64" s="18"/>
    </row>
    <row r="65" spans="1:15">
      <c r="A65" s="14">
        <v>38</v>
      </c>
      <c r="B65" s="15" t="s">
        <v>159</v>
      </c>
      <c r="C65" s="16">
        <v>47079</v>
      </c>
      <c r="D65" s="17">
        <f t="shared" si="11"/>
        <v>2.4473833885158619E-3</v>
      </c>
      <c r="E65" s="16">
        <f>11704.454+345.49</f>
        <v>12049.944</v>
      </c>
      <c r="F65" s="16">
        <f>3746.099+55.665</f>
        <v>3801.7640000000001</v>
      </c>
      <c r="G65" s="16">
        <f t="shared" si="12"/>
        <v>8248.18</v>
      </c>
      <c r="H65" s="16">
        <f t="shared" si="13"/>
        <v>55327.18</v>
      </c>
      <c r="I65" s="16">
        <v>1050493</v>
      </c>
      <c r="J65" s="16">
        <f t="shared" si="14"/>
        <v>3619.0283990469238</v>
      </c>
      <c r="K65" s="16">
        <f t="shared" si="15"/>
        <v>7851.7229529373353</v>
      </c>
      <c r="L65" s="16">
        <f t="shared" si="16"/>
        <v>52667.823583783997</v>
      </c>
      <c r="M65" s="16">
        <f t="shared" si="17"/>
        <v>-9917.6241736616867</v>
      </c>
      <c r="N65" s="16">
        <f t="shared" si="18"/>
        <v>-54733.724804508347</v>
      </c>
      <c r="O65" s="18"/>
    </row>
    <row r="66" spans="1:15">
      <c r="A66" s="14">
        <v>39</v>
      </c>
      <c r="B66" s="15" t="s">
        <v>51</v>
      </c>
      <c r="C66" s="16">
        <v>602069</v>
      </c>
      <c r="D66" s="17">
        <f t="shared" si="11"/>
        <v>3.1298321318217387E-2</v>
      </c>
      <c r="E66" s="16">
        <v>73713.861999999994</v>
      </c>
      <c r="F66" s="16">
        <v>206304.22700000001</v>
      </c>
      <c r="G66" s="16">
        <f t="shared" si="12"/>
        <v>-132590.36500000002</v>
      </c>
      <c r="H66" s="16">
        <f t="shared" si="13"/>
        <v>469478.63500000001</v>
      </c>
      <c r="I66" s="16">
        <v>9005644</v>
      </c>
      <c r="J66" s="16">
        <f t="shared" si="14"/>
        <v>22908.325823228188</v>
      </c>
      <c r="K66" s="16">
        <f t="shared" si="15"/>
        <v>-14723.0298021996</v>
      </c>
      <c r="L66" s="16">
        <f t="shared" si="16"/>
        <v>52131.600471881859</v>
      </c>
      <c r="M66" s="16">
        <f t="shared" si="17"/>
        <v>-10453.847285563825</v>
      </c>
      <c r="N66" s="16">
        <f t="shared" si="18"/>
        <v>-77308.477559645282</v>
      </c>
      <c r="O66" s="18"/>
    </row>
    <row r="67" spans="1:15">
      <c r="A67" s="14">
        <v>40</v>
      </c>
      <c r="B67" s="15" t="s">
        <v>100</v>
      </c>
      <c r="C67" s="16">
        <v>235960</v>
      </c>
      <c r="D67" s="17">
        <f t="shared" si="11"/>
        <v>1.2266288246441147E-2</v>
      </c>
      <c r="E67" s="16">
        <f>30817+2207</f>
        <v>33024</v>
      </c>
      <c r="F67" s="16">
        <f>26286+395</f>
        <v>26681</v>
      </c>
      <c r="G67" s="16">
        <f t="shared" si="12"/>
        <v>6343</v>
      </c>
      <c r="H67" s="16">
        <f t="shared" si="13"/>
        <v>242303</v>
      </c>
      <c r="I67" s="16">
        <v>4684333</v>
      </c>
      <c r="J67" s="16">
        <f t="shared" si="14"/>
        <v>5695.7948975873405</v>
      </c>
      <c r="K67" s="16">
        <f t="shared" si="15"/>
        <v>1354.0881914244781</v>
      </c>
      <c r="L67" s="16">
        <f t="shared" si="16"/>
        <v>51726.254303440852</v>
      </c>
      <c r="M67" s="16">
        <f t="shared" si="17"/>
        <v>-10859.193454004831</v>
      </c>
      <c r="N67" s="16">
        <f t="shared" si="18"/>
        <v>-61231.359566021209</v>
      </c>
      <c r="O67" s="18"/>
    </row>
    <row r="68" spans="1:15">
      <c r="A68" s="14">
        <v>41</v>
      </c>
      <c r="B68" s="15" t="s">
        <v>47</v>
      </c>
      <c r="C68" s="16">
        <v>976386</v>
      </c>
      <c r="D68" s="17">
        <f t="shared" si="11"/>
        <v>5.0757044057423657E-2</v>
      </c>
      <c r="E68" s="16">
        <f>150477.013+3504.156</f>
        <v>153981.16899999999</v>
      </c>
      <c r="F68" s="16">
        <f>56577.897+815.274</f>
        <v>57393.170999999995</v>
      </c>
      <c r="G68" s="16">
        <f t="shared" si="12"/>
        <v>96587.997999999992</v>
      </c>
      <c r="H68" s="16">
        <f t="shared" si="13"/>
        <v>1072973.9979999999</v>
      </c>
      <c r="I68" s="16">
        <v>20984400</v>
      </c>
      <c r="J68" s="16">
        <f t="shared" si="14"/>
        <v>2735.039886773031</v>
      </c>
      <c r="K68" s="16">
        <f t="shared" si="15"/>
        <v>4602.847734507538</v>
      </c>
      <c r="L68" s="16">
        <f t="shared" si="16"/>
        <v>51131.983664055195</v>
      </c>
      <c r="M68" s="16">
        <f t="shared" si="17"/>
        <v>-11453.464093390488</v>
      </c>
      <c r="N68" s="16">
        <f t="shared" si="18"/>
        <v>-57982.600022938146</v>
      </c>
      <c r="O68" s="18"/>
    </row>
    <row r="69" spans="1:15">
      <c r="A69" s="14">
        <v>42</v>
      </c>
      <c r="B69" s="15" t="s">
        <v>92</v>
      </c>
      <c r="C69" s="16">
        <v>326446</v>
      </c>
      <c r="D69" s="17">
        <f t="shared" si="11"/>
        <v>1.6970167540675228E-2</v>
      </c>
      <c r="E69" s="16">
        <f>46961+1415</f>
        <v>48376</v>
      </c>
      <c r="F69" s="16">
        <f>21212+803</f>
        <v>22015</v>
      </c>
      <c r="G69" s="16">
        <f t="shared" si="12"/>
        <v>26361</v>
      </c>
      <c r="H69" s="16">
        <f t="shared" si="13"/>
        <v>352807</v>
      </c>
      <c r="I69" s="16">
        <v>7016270</v>
      </c>
      <c r="J69" s="16">
        <f t="shared" si="14"/>
        <v>3137.7070722762951</v>
      </c>
      <c r="K69" s="16">
        <f t="shared" si="15"/>
        <v>3757.1245120270455</v>
      </c>
      <c r="L69" s="16">
        <f t="shared" si="16"/>
        <v>50284.125325849775</v>
      </c>
      <c r="M69" s="16">
        <f t="shared" si="17"/>
        <v>-12301.322431595909</v>
      </c>
      <c r="N69" s="16">
        <f t="shared" si="18"/>
        <v>-58828.323245418636</v>
      </c>
      <c r="O69" s="18"/>
    </row>
    <row r="70" spans="1:15">
      <c r="A70" s="14">
        <v>43</v>
      </c>
      <c r="B70" s="15" t="s">
        <v>153</v>
      </c>
      <c r="C70" s="16">
        <v>72294</v>
      </c>
      <c r="D70" s="17">
        <f t="shared" si="11"/>
        <v>3.7581752944915083E-3</v>
      </c>
      <c r="E70" s="16">
        <f>15448.792+263.963</f>
        <v>15712.754999999999</v>
      </c>
      <c r="F70" s="16">
        <f>2607.999+64.983</f>
        <v>2672.982</v>
      </c>
      <c r="G70" s="16">
        <f t="shared" si="12"/>
        <v>13039.772999999999</v>
      </c>
      <c r="H70" s="16">
        <f t="shared" si="13"/>
        <v>85333.773000000001</v>
      </c>
      <c r="I70" s="16">
        <v>1716943</v>
      </c>
      <c r="J70" s="16">
        <f t="shared" si="14"/>
        <v>1556.8262895157266</v>
      </c>
      <c r="K70" s="16">
        <f t="shared" si="15"/>
        <v>7594.7617364117505</v>
      </c>
      <c r="L70" s="16">
        <f t="shared" si="16"/>
        <v>49700.993568219797</v>
      </c>
      <c r="M70" s="16">
        <f t="shared" si="17"/>
        <v>-12884.454189225886</v>
      </c>
      <c r="N70" s="16">
        <f t="shared" si="18"/>
        <v>-54990.686021033936</v>
      </c>
      <c r="O70" s="18"/>
    </row>
    <row r="71" spans="1:15">
      <c r="A71" s="14">
        <v>44</v>
      </c>
      <c r="B71" s="15" t="s">
        <v>104</v>
      </c>
      <c r="C71" s="16">
        <v>221690</v>
      </c>
      <c r="D71" s="17">
        <f t="shared" si="11"/>
        <v>1.1524467881647474E-2</v>
      </c>
      <c r="E71" s="16">
        <f>29956+780</f>
        <v>30736</v>
      </c>
      <c r="F71" s="16">
        <f>10884+93</f>
        <v>10977</v>
      </c>
      <c r="G71" s="16">
        <f t="shared" si="12"/>
        <v>19759</v>
      </c>
      <c r="H71" s="16">
        <f t="shared" si="13"/>
        <v>241449</v>
      </c>
      <c r="I71" s="16">
        <v>5024369</v>
      </c>
      <c r="J71" s="16">
        <f t="shared" si="14"/>
        <v>2184.7519559172506</v>
      </c>
      <c r="K71" s="16">
        <f t="shared" si="15"/>
        <v>3932.6331326381483</v>
      </c>
      <c r="L71" s="16">
        <f t="shared" si="16"/>
        <v>48055.586681631066</v>
      </c>
      <c r="M71" s="16">
        <f t="shared" si="17"/>
        <v>-14529.861075814617</v>
      </c>
      <c r="N71" s="16">
        <f t="shared" si="18"/>
        <v>-58652.814624807535</v>
      </c>
      <c r="O71" s="18"/>
    </row>
    <row r="72" spans="1:15">
      <c r="A72" s="14">
        <v>45</v>
      </c>
      <c r="B72" s="15" t="s">
        <v>154</v>
      </c>
      <c r="C72" s="16">
        <v>61703</v>
      </c>
      <c r="D72" s="17">
        <f t="shared" si="11"/>
        <v>3.2076063047557133E-3</v>
      </c>
      <c r="E72" s="16">
        <f>7042.614+862.352</f>
        <v>7904.9659999999994</v>
      </c>
      <c r="F72" s="16">
        <f>5626.415+58.784</f>
        <v>5685.1989999999996</v>
      </c>
      <c r="G72" s="16">
        <f t="shared" si="12"/>
        <v>2219.7669999999998</v>
      </c>
      <c r="H72" s="16">
        <f t="shared" si="13"/>
        <v>63922.767</v>
      </c>
      <c r="I72" s="16">
        <v>1335907</v>
      </c>
      <c r="J72" s="16">
        <f t="shared" si="14"/>
        <v>4255.6847145796828</v>
      </c>
      <c r="K72" s="16">
        <f t="shared" si="15"/>
        <v>1661.6179120253132</v>
      </c>
      <c r="L72" s="16">
        <f t="shared" si="16"/>
        <v>47849.713340823873</v>
      </c>
      <c r="M72" s="16">
        <f t="shared" si="17"/>
        <v>-14735.73441662181</v>
      </c>
      <c r="N72" s="16">
        <f t="shared" si="18"/>
        <v>-60923.829845420369</v>
      </c>
      <c r="O72" s="18"/>
    </row>
    <row r="73" spans="1:15">
      <c r="A73" s="14">
        <v>46</v>
      </c>
      <c r="B73" s="15" t="s">
        <v>105</v>
      </c>
      <c r="C73" s="16">
        <v>211196</v>
      </c>
      <c r="D73" s="17">
        <f t="shared" si="11"/>
        <v>1.0978941398946366E-2</v>
      </c>
      <c r="E73" s="16">
        <f>34174.4+568</f>
        <v>34742.400000000001</v>
      </c>
      <c r="F73" s="16">
        <f>13204+53</f>
        <v>13257</v>
      </c>
      <c r="G73" s="16">
        <f t="shared" si="12"/>
        <v>21485.4</v>
      </c>
      <c r="H73" s="16">
        <f t="shared" si="13"/>
        <v>232681.4</v>
      </c>
      <c r="I73" s="16">
        <v>4874747</v>
      </c>
      <c r="J73" s="16">
        <f t="shared" si="14"/>
        <v>2719.5257517979908</v>
      </c>
      <c r="K73" s="16">
        <f t="shared" si="15"/>
        <v>4407.4902759056013</v>
      </c>
      <c r="L73" s="16">
        <f t="shared" si="16"/>
        <v>47731.995116874787</v>
      </c>
      <c r="M73" s="16">
        <f t="shared" si="17"/>
        <v>-14853.452640570897</v>
      </c>
      <c r="N73" s="16">
        <f t="shared" si="18"/>
        <v>-58177.957481540085</v>
      </c>
      <c r="O73" s="18"/>
    </row>
    <row r="74" spans="1:15">
      <c r="A74" s="14">
        <v>47</v>
      </c>
      <c r="B74" s="15" t="s">
        <v>124</v>
      </c>
      <c r="C74" s="16">
        <v>122704</v>
      </c>
      <c r="D74" s="17">
        <f t="shared" si="11"/>
        <v>6.3787194142707008E-3</v>
      </c>
      <c r="E74" s="16">
        <f>25553.064+1619.778</f>
        <v>27172.841999999997</v>
      </c>
      <c r="F74" s="16">
        <f>11218.15+125.864</f>
        <v>11344.013999999999</v>
      </c>
      <c r="G74" s="16">
        <f t="shared" si="12"/>
        <v>15828.827999999998</v>
      </c>
      <c r="H74" s="16">
        <f t="shared" si="13"/>
        <v>138532.82800000001</v>
      </c>
      <c r="I74" s="16">
        <v>3004279</v>
      </c>
      <c r="J74" s="16">
        <f t="shared" si="14"/>
        <v>3775.9522334643352</v>
      </c>
      <c r="K74" s="16">
        <f t="shared" si="15"/>
        <v>5268.7609905737772</v>
      </c>
      <c r="L74" s="16">
        <f t="shared" si="16"/>
        <v>46111.838481046536</v>
      </c>
      <c r="M74" s="16">
        <f t="shared" si="17"/>
        <v>-16473.609276399147</v>
      </c>
      <c r="N74" s="16">
        <f t="shared" si="18"/>
        <v>-57316.686766871906</v>
      </c>
      <c r="O74" s="18"/>
    </row>
    <row r="75" spans="1:15">
      <c r="A75" s="14">
        <v>48</v>
      </c>
      <c r="B75" s="15" t="s">
        <v>151</v>
      </c>
      <c r="C75" s="16">
        <v>74047</v>
      </c>
      <c r="D75" s="17">
        <f t="shared" si="11"/>
        <v>3.8493043133761128E-3</v>
      </c>
      <c r="E75" s="16">
        <f>18019.583+1516.17</f>
        <v>19535.752999999997</v>
      </c>
      <c r="F75" s="16">
        <f>12204.733+293.152</f>
        <v>12497.885</v>
      </c>
      <c r="G75" s="16">
        <f t="shared" si="12"/>
        <v>7037.8679999999968</v>
      </c>
      <c r="H75" s="16">
        <f t="shared" si="13"/>
        <v>81084.868000000002</v>
      </c>
      <c r="I75" s="16">
        <v>1815857</v>
      </c>
      <c r="J75" s="16">
        <f t="shared" si="14"/>
        <v>6882.6372340993812</v>
      </c>
      <c r="K75" s="16">
        <f t="shared" si="15"/>
        <v>3875.7831701505115</v>
      </c>
      <c r="L75" s="16">
        <f t="shared" si="16"/>
        <v>44653.773948058682</v>
      </c>
      <c r="M75" s="16">
        <f t="shared" si="17"/>
        <v>-17931.673809387001</v>
      </c>
      <c r="N75" s="16">
        <f t="shared" si="18"/>
        <v>-58709.66458729517</v>
      </c>
      <c r="O75" s="18"/>
    </row>
    <row r="76" spans="1:15">
      <c r="A76" s="14">
        <v>49</v>
      </c>
      <c r="B76" s="15" t="s">
        <v>107</v>
      </c>
      <c r="C76" s="16">
        <v>202175</v>
      </c>
      <c r="D76" s="17">
        <f t="shared" si="11"/>
        <v>1.0509988244720455E-2</v>
      </c>
      <c r="E76" s="16">
        <f>32670+7731</f>
        <v>40401</v>
      </c>
      <c r="F76" s="16">
        <f>55563+603</f>
        <v>56166</v>
      </c>
      <c r="G76" s="16">
        <f t="shared" si="12"/>
        <v>-15765</v>
      </c>
      <c r="H76" s="16">
        <f t="shared" si="13"/>
        <v>186410</v>
      </c>
      <c r="I76" s="16">
        <v>4454189</v>
      </c>
      <c r="J76" s="16">
        <f t="shared" si="14"/>
        <v>12609.702911124787</v>
      </c>
      <c r="K76" s="16">
        <f t="shared" si="15"/>
        <v>-3539.3648540733229</v>
      </c>
      <c r="L76" s="16">
        <f t="shared" si="16"/>
        <v>41850.491750574569</v>
      </c>
      <c r="M76" s="16">
        <f t="shared" si="17"/>
        <v>-20734.956006871114</v>
      </c>
      <c r="N76" s="16">
        <f t="shared" si="18"/>
        <v>-66124.81261151901</v>
      </c>
      <c r="O76" s="18"/>
    </row>
    <row r="77" spans="1:15" ht="13" thickBot="1">
      <c r="A77" s="19">
        <v>50</v>
      </c>
      <c r="B77" s="20" t="s">
        <v>132</v>
      </c>
      <c r="C77" s="21">
        <v>109375</v>
      </c>
      <c r="D77" s="22">
        <f t="shared" si="11"/>
        <v>5.6858165661743537E-3</v>
      </c>
      <c r="E77" s="21">
        <f>24713.017+821.604</f>
        <v>25534.620999999999</v>
      </c>
      <c r="F77" s="21">
        <f>11766.231+78.346</f>
        <v>11844.576999999999</v>
      </c>
      <c r="G77" s="16">
        <f t="shared" si="12"/>
        <v>13690.044</v>
      </c>
      <c r="H77" s="16">
        <f t="shared" si="13"/>
        <v>123065.04399999999</v>
      </c>
      <c r="I77" s="16">
        <v>2984100</v>
      </c>
      <c r="J77" s="16">
        <f t="shared" si="14"/>
        <v>3969.2292483495862</v>
      </c>
      <c r="K77" s="16">
        <f t="shared" si="15"/>
        <v>4587.6626118427666</v>
      </c>
      <c r="L77" s="16">
        <f t="shared" si="16"/>
        <v>41240.254683154053</v>
      </c>
      <c r="M77" s="16">
        <f t="shared" si="17"/>
        <v>-21345.19307429163</v>
      </c>
      <c r="N77" s="16">
        <f t="shared" si="18"/>
        <v>-57997.785145602917</v>
      </c>
      <c r="O77" s="18"/>
    </row>
    <row r="78" spans="1:15" ht="13" thickBot="1">
      <c r="A78" s="23" t="s">
        <v>55</v>
      </c>
      <c r="B78" s="24"/>
      <c r="C78" s="25">
        <f t="shared" ref="C78:I78" si="19">SUM(C28:C77)</f>
        <v>19236463</v>
      </c>
      <c r="D78" s="40">
        <f t="shared" si="19"/>
        <v>1.0000000000000002</v>
      </c>
      <c r="E78" s="25">
        <f t="shared" si="19"/>
        <v>2633883.6790000009</v>
      </c>
      <c r="F78" s="25">
        <f t="shared" si="19"/>
        <v>2030646.0010000002</v>
      </c>
      <c r="G78" s="25">
        <f t="shared" si="19"/>
        <v>603237.67800000019</v>
      </c>
      <c r="H78" s="25">
        <f t="shared" si="19"/>
        <v>19839700.677999999</v>
      </c>
      <c r="I78" s="25">
        <f t="shared" si="19"/>
        <v>325025206</v>
      </c>
      <c r="J78" s="25">
        <f t="shared" si="14"/>
        <v>6247.6569924856849</v>
      </c>
      <c r="K78" s="25">
        <f t="shared" si="15"/>
        <v>1855.9719888309223</v>
      </c>
      <c r="L78" s="25">
        <f t="shared" si="16"/>
        <v>61040.498742119096</v>
      </c>
      <c r="M78" s="25">
        <f t="shared" ref="M78:M82" si="20">L78+$E$87</f>
        <v>-1544.949015326587</v>
      </c>
      <c r="N78" s="25">
        <f t="shared" si="18"/>
        <v>-60729.475768614764</v>
      </c>
      <c r="O78" s="18"/>
    </row>
    <row r="79" spans="1:15">
      <c r="A79" s="102" t="s">
        <v>1</v>
      </c>
      <c r="B79" s="102"/>
      <c r="C79" s="26">
        <f>SUM(C28:C37)</f>
        <v>6155775</v>
      </c>
      <c r="D79" s="17">
        <f>C79/$C$78</f>
        <v>0.32000555403558334</v>
      </c>
      <c r="E79" s="26">
        <f>SUM(E28:E37)</f>
        <v>789749.21100000001</v>
      </c>
      <c r="F79" s="26">
        <f>SUM(F28:F37)</f>
        <v>671733.49800000002</v>
      </c>
      <c r="G79" s="26">
        <f>SUM(G28:G37)</f>
        <v>118015.71300000002</v>
      </c>
      <c r="H79" s="26">
        <f>SUM(H28:H37)</f>
        <v>6273790.7130000005</v>
      </c>
      <c r="I79" s="26">
        <f>SUM(I28:I37)</f>
        <v>84184738</v>
      </c>
      <c r="J79" s="26">
        <f t="shared" si="14"/>
        <v>7979.2788331775764</v>
      </c>
      <c r="K79" s="26">
        <f t="shared" si="15"/>
        <v>1401.8658940293906</v>
      </c>
      <c r="L79" s="26">
        <f t="shared" si="16"/>
        <v>74524.086693718753</v>
      </c>
      <c r="M79" s="26">
        <f t="shared" si="20"/>
        <v>11938.63893627307</v>
      </c>
      <c r="N79" s="26">
        <f t="shared" si="18"/>
        <v>-61183.581863416293</v>
      </c>
      <c r="O79" s="18"/>
    </row>
    <row r="80" spans="1:15">
      <c r="A80" s="103" t="s">
        <v>4</v>
      </c>
      <c r="B80" s="103"/>
      <c r="C80" s="27">
        <f>SUM(C28:C47)</f>
        <v>9889536</v>
      </c>
      <c r="D80" s="17">
        <f>C80/$C$78</f>
        <v>0.51410365824528137</v>
      </c>
      <c r="E80" s="27">
        <f>SUM(E28:E47)</f>
        <v>1389657.4840000002</v>
      </c>
      <c r="F80" s="27">
        <f>SUM(F28:F47)</f>
        <v>1057115.858</v>
      </c>
      <c r="G80" s="27">
        <f>SUM(G28:G47)</f>
        <v>332541.62600000005</v>
      </c>
      <c r="H80" s="27">
        <f>SUM(H28:H47)</f>
        <v>10222077.626</v>
      </c>
      <c r="I80" s="27">
        <f>SUM(I28:I47)</f>
        <v>146094412</v>
      </c>
      <c r="J80" s="27">
        <f t="shared" si="14"/>
        <v>7235.8404645894325</v>
      </c>
      <c r="K80" s="27">
        <f t="shared" si="15"/>
        <v>2276.2104412316608</v>
      </c>
      <c r="L80" s="27">
        <f t="shared" si="16"/>
        <v>69968.984344178753</v>
      </c>
      <c r="M80" s="27">
        <f t="shared" si="20"/>
        <v>7383.5365867330693</v>
      </c>
      <c r="N80" s="27">
        <f t="shared" si="18"/>
        <v>-60309.237316214021</v>
      </c>
      <c r="O80" s="18"/>
    </row>
    <row r="81" spans="1:15">
      <c r="A81" s="103" t="s">
        <v>3</v>
      </c>
      <c r="B81" s="103"/>
      <c r="C81" s="27">
        <f>SUM(C28:C57)</f>
        <v>13606379</v>
      </c>
      <c r="D81" s="17">
        <f>C81/$C$78</f>
        <v>0.70732228684659959</v>
      </c>
      <c r="E81" s="27">
        <f>SUM(E28:E57)</f>
        <v>1868054.2480000004</v>
      </c>
      <c r="F81" s="27">
        <f>SUM(F28:F57)</f>
        <v>1298445.4750000001</v>
      </c>
      <c r="G81" s="27">
        <f>SUM(G28:G57)</f>
        <v>569608.77300000004</v>
      </c>
      <c r="H81" s="27">
        <f>SUM(H28:H57)</f>
        <v>14175987.772999998</v>
      </c>
      <c r="I81" s="27">
        <f>SUM(I28:I57)</f>
        <v>213976431</v>
      </c>
      <c r="J81" s="27">
        <f t="shared" si="14"/>
        <v>6068.1705407078225</v>
      </c>
      <c r="K81" s="27">
        <f t="shared" si="15"/>
        <v>2662.0164208645951</v>
      </c>
      <c r="L81" s="27">
        <f t="shared" si="16"/>
        <v>66250.230021828887</v>
      </c>
      <c r="M81" s="27">
        <f t="shared" si="20"/>
        <v>3664.7822643832042</v>
      </c>
      <c r="N81" s="27">
        <f t="shared" si="18"/>
        <v>-59923.431336581089</v>
      </c>
      <c r="O81" s="18"/>
    </row>
    <row r="82" spans="1:15">
      <c r="A82" s="103" t="s">
        <v>2</v>
      </c>
      <c r="B82" s="103"/>
      <c r="C82" s="27">
        <f>SUM(C28:C67)</f>
        <v>16858447</v>
      </c>
      <c r="D82" s="17">
        <f>C82/$C$78</f>
        <v>0.87637976898351844</v>
      </c>
      <c r="E82" s="27">
        <f>SUM(E28:E67)</f>
        <v>2229786.1730000009</v>
      </c>
      <c r="F82" s="27">
        <f>SUM(F28:F67)</f>
        <v>1826793.173</v>
      </c>
      <c r="G82" s="27">
        <f>SUM(G28:G67)</f>
        <v>402993.00000000012</v>
      </c>
      <c r="H82" s="27">
        <f>SUM(H28:H67)</f>
        <v>17261440</v>
      </c>
      <c r="I82" s="27">
        <f>SUM(I28:I67)</f>
        <v>271814145</v>
      </c>
      <c r="J82" s="27">
        <f t="shared" si="14"/>
        <v>6720.743591176979</v>
      </c>
      <c r="K82" s="27">
        <f t="shared" si="15"/>
        <v>1482.6049615629831</v>
      </c>
      <c r="L82" s="27">
        <f t="shared" si="16"/>
        <v>63504.568535239399</v>
      </c>
      <c r="M82" s="27">
        <f t="shared" si="20"/>
        <v>919.12077779371612</v>
      </c>
      <c r="N82" s="27">
        <f t="shared" si="18"/>
        <v>-61102.842795882701</v>
      </c>
      <c r="O82" s="18"/>
    </row>
    <row r="83" spans="1:15" ht="24.75" customHeight="1">
      <c r="A83" s="100" t="s">
        <v>172</v>
      </c>
      <c r="B83" s="101"/>
      <c r="C83" s="34">
        <v>19485394</v>
      </c>
      <c r="D83" s="18"/>
      <c r="E83" s="18"/>
      <c r="F83" s="18"/>
      <c r="G83" s="18"/>
      <c r="H83" s="18"/>
      <c r="I83" s="18"/>
      <c r="J83" s="18"/>
      <c r="K83" s="18"/>
      <c r="L83" s="18"/>
      <c r="M83" s="18"/>
      <c r="N83" s="18"/>
      <c r="O83" s="18"/>
    </row>
    <row r="85" spans="1:15">
      <c r="A85" s="35" t="s">
        <v>314</v>
      </c>
      <c r="E85" s="16">
        <v>-20416200</v>
      </c>
    </row>
    <row r="86" spans="1:15">
      <c r="A86" s="35" t="s">
        <v>174</v>
      </c>
      <c r="E86" s="16">
        <v>326213213</v>
      </c>
    </row>
    <row r="87" spans="1:15">
      <c r="A87" s="35" t="s">
        <v>180</v>
      </c>
      <c r="E87" s="16">
        <f>E85*1000000/E86</f>
        <v>-62585.447757445683</v>
      </c>
    </row>
    <row r="89" spans="1:15" ht="12.75" customHeight="1">
      <c r="A89" s="29" t="s">
        <v>169</v>
      </c>
      <c r="B89" s="28"/>
      <c r="C89" s="28"/>
      <c r="D89" s="28"/>
      <c r="E89" s="28"/>
      <c r="F89" s="28"/>
      <c r="G89" s="28"/>
      <c r="H89" s="12"/>
    </row>
    <row r="90" spans="1:15">
      <c r="B90" s="8" t="s">
        <v>176</v>
      </c>
    </row>
    <row r="91" spans="1:15">
      <c r="B91" s="8" t="s">
        <v>177</v>
      </c>
    </row>
    <row r="92" spans="1:15">
      <c r="B92" s="8" t="s">
        <v>178</v>
      </c>
    </row>
    <row r="93" spans="1:15">
      <c r="B93" s="8" t="s">
        <v>170</v>
      </c>
    </row>
    <row r="94" spans="1:15">
      <c r="B94" s="8" t="s">
        <v>168</v>
      </c>
    </row>
    <row r="95" spans="1:15">
      <c r="B95" s="8" t="s">
        <v>179</v>
      </c>
    </row>
    <row r="96" spans="1:15" ht="12.75" customHeight="1">
      <c r="B96" s="29" t="s">
        <v>171</v>
      </c>
      <c r="C96" s="28"/>
      <c r="D96" s="28"/>
      <c r="E96" s="28"/>
      <c r="F96" s="28"/>
      <c r="G96" s="28"/>
      <c r="H96" s="28"/>
      <c r="I96" s="28"/>
      <c r="J96" s="28"/>
      <c r="K96" s="28"/>
      <c r="L96" s="28"/>
      <c r="M96" s="28"/>
      <c r="N96" s="28"/>
    </row>
    <row r="97" spans="2:14">
      <c r="B97" s="29" t="s">
        <v>173</v>
      </c>
      <c r="C97" s="28"/>
      <c r="D97" s="28"/>
      <c r="E97" s="28"/>
      <c r="F97" s="28"/>
      <c r="G97" s="28"/>
      <c r="H97" s="28"/>
      <c r="I97" s="28"/>
      <c r="J97" s="28"/>
      <c r="K97" s="28"/>
      <c r="L97" s="28"/>
      <c r="M97" s="28"/>
      <c r="N97" s="28"/>
    </row>
    <row r="98" spans="2:14">
      <c r="B98" s="8" t="s">
        <v>315</v>
      </c>
    </row>
  </sheetData>
  <sortState ref="B28:N77">
    <sortCondition descending="1" ref="L28:L77"/>
  </sortState>
  <mergeCells count="16">
    <mergeCell ref="A17:B17"/>
    <mergeCell ref="A2:N2"/>
    <mergeCell ref="A4:N4"/>
    <mergeCell ref="A6:N13"/>
    <mergeCell ref="A15:B15"/>
    <mergeCell ref="A16:B16"/>
    <mergeCell ref="A80:B80"/>
    <mergeCell ref="A81:B81"/>
    <mergeCell ref="A82:B82"/>
    <mergeCell ref="A83:B83"/>
    <mergeCell ref="A18:B18"/>
    <mergeCell ref="A21:B21"/>
    <mergeCell ref="A22:B22"/>
    <mergeCell ref="A23:B23"/>
    <mergeCell ref="A24:B24"/>
    <mergeCell ref="A79:B79"/>
  </mergeCells>
  <printOptions horizontalCentered="1"/>
  <pageMargins left="0.5" right="0.5" top="0.75" bottom="0.75" header="0.3" footer="0.3"/>
  <pageSetup paperSize="9" scale="78" fitToHeight="0" orientation="landscape" horizontalDpi="4294967293" verticalDpi="4294967293"/>
  <headerFooter>
    <oddHeader xml:space="preserve">&amp;R&amp;8
</oddHeader>
    <oddFooter>&amp;C&amp;"Arial,Regular"&amp;10&amp;P of &amp;N</oddFooter>
  </headerFooter>
  <rowBreaks count="1" manualBreakCount="1">
    <brk id="25"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19"/>
  <sheetViews>
    <sheetView showWhiteSpace="0" view="pageBreakPreview" topLeftCell="D1" zoomScaleSheetLayoutView="100" workbookViewId="0">
      <selection activeCell="N1" sqref="N1"/>
    </sheetView>
  </sheetViews>
  <sheetFormatPr baseColWidth="10" defaultColWidth="9.1640625" defaultRowHeight="12" x14ac:dyDescent="0"/>
  <cols>
    <col min="1" max="1" width="3.1640625" style="8" customWidth="1"/>
    <col min="2" max="2" width="16.83203125" style="8" customWidth="1"/>
    <col min="3" max="3" width="9.83203125" style="8" bestFit="1" customWidth="1"/>
    <col min="4" max="4" width="10.1640625" style="8" customWidth="1"/>
    <col min="5" max="5" width="11.1640625" style="8" bestFit="1" customWidth="1"/>
    <col min="6" max="6" width="10.83203125" style="8" customWidth="1"/>
    <col min="7" max="7" width="7.6640625" style="8" customWidth="1"/>
    <col min="8" max="9" width="11.6640625" style="8" bestFit="1" customWidth="1"/>
    <col min="10" max="10" width="12.83203125" style="8" customWidth="1"/>
    <col min="11" max="11" width="10.33203125" style="8" customWidth="1"/>
    <col min="12" max="12" width="11" style="8" customWidth="1"/>
    <col min="13" max="14" width="11.6640625" style="8" bestFit="1" customWidth="1"/>
    <col min="15" max="15" width="9.1640625" style="8" customWidth="1"/>
    <col min="16" max="16" width="9.1640625" style="8"/>
    <col min="17" max="17" width="14.33203125" style="8" customWidth="1"/>
    <col min="18" max="18" width="43.33203125" style="8" bestFit="1" customWidth="1"/>
    <col min="19" max="16384" width="9.1640625" style="8"/>
  </cols>
  <sheetData>
    <row r="1" spans="1:18">
      <c r="A1" s="36"/>
      <c r="B1" s="36"/>
      <c r="C1" s="36"/>
      <c r="D1" s="36"/>
      <c r="E1" s="36"/>
      <c r="F1" s="36"/>
      <c r="G1" s="36"/>
      <c r="H1" s="36"/>
      <c r="I1" s="36"/>
      <c r="J1" s="36"/>
      <c r="K1" s="36"/>
      <c r="L1" s="36"/>
      <c r="M1" s="37"/>
      <c r="N1" s="36"/>
      <c r="O1" s="36"/>
      <c r="P1" s="36"/>
      <c r="Q1" s="60" t="str">
        <f>'2017 Ranked by GDP'!N1</f>
        <v>Draft 15.01.2019.2130ET</v>
      </c>
    </row>
    <row r="2" spans="1:18" s="38" customFormat="1" ht="17">
      <c r="A2" s="104" t="s">
        <v>163</v>
      </c>
      <c r="B2" s="104"/>
      <c r="C2" s="104"/>
      <c r="D2" s="104"/>
      <c r="E2" s="104"/>
      <c r="F2" s="104"/>
      <c r="G2" s="104"/>
      <c r="H2" s="104"/>
      <c r="I2" s="104"/>
      <c r="J2" s="104"/>
      <c r="K2" s="104"/>
      <c r="L2" s="104"/>
      <c r="M2" s="104"/>
      <c r="N2" s="104"/>
      <c r="O2" s="104"/>
      <c r="P2" s="104"/>
      <c r="Q2" s="104"/>
    </row>
    <row r="3" spans="1:18" ht="54" customHeight="1">
      <c r="A3" s="119"/>
      <c r="B3" s="119"/>
      <c r="C3" s="119"/>
      <c r="D3" s="119"/>
      <c r="E3" s="119"/>
      <c r="F3" s="119"/>
      <c r="G3" s="119"/>
      <c r="H3" s="119"/>
      <c r="I3" s="119"/>
      <c r="J3" s="119"/>
      <c r="K3" s="119"/>
      <c r="L3" s="119"/>
      <c r="M3" s="119"/>
      <c r="N3" s="119"/>
      <c r="O3" s="119"/>
      <c r="P3" s="119"/>
      <c r="Q3" s="119"/>
    </row>
    <row r="4" spans="1:18" s="39" customFormat="1" ht="17">
      <c r="A4" s="105" t="s">
        <v>316</v>
      </c>
      <c r="B4" s="106"/>
      <c r="C4" s="106"/>
      <c r="D4" s="106"/>
      <c r="E4" s="106"/>
      <c r="F4" s="106"/>
      <c r="G4" s="106"/>
      <c r="H4" s="106"/>
      <c r="I4" s="106"/>
      <c r="J4" s="106"/>
      <c r="K4" s="106"/>
      <c r="L4" s="106"/>
      <c r="M4" s="106"/>
      <c r="N4" s="106"/>
      <c r="O4" s="106"/>
      <c r="P4" s="106"/>
      <c r="Q4" s="106"/>
    </row>
    <row r="5" spans="1:18" s="10" customFormat="1">
      <c r="A5" s="31"/>
      <c r="B5" s="31"/>
      <c r="C5" s="31"/>
      <c r="D5" s="31"/>
      <c r="E5" s="31"/>
      <c r="F5" s="31"/>
      <c r="G5" s="31"/>
      <c r="H5" s="31"/>
      <c r="I5" s="31"/>
      <c r="J5" s="31"/>
      <c r="K5" s="31"/>
      <c r="L5" s="31"/>
      <c r="M5" s="31"/>
      <c r="N5" s="31"/>
      <c r="O5" s="31"/>
      <c r="P5" s="31"/>
      <c r="Q5" s="31"/>
    </row>
    <row r="6" spans="1:18">
      <c r="A6" s="117" t="s">
        <v>311</v>
      </c>
      <c r="B6" s="117"/>
      <c r="C6" s="117"/>
      <c r="D6" s="117"/>
      <c r="E6" s="117"/>
      <c r="F6" s="117"/>
      <c r="G6" s="117"/>
      <c r="H6" s="117"/>
      <c r="I6" s="117"/>
      <c r="J6" s="117"/>
      <c r="K6" s="117"/>
      <c r="L6" s="117"/>
      <c r="M6" s="117"/>
      <c r="N6" s="117"/>
      <c r="O6" s="117"/>
      <c r="P6" s="117"/>
      <c r="Q6" s="117"/>
    </row>
    <row r="7" spans="1:18">
      <c r="A7" s="117"/>
      <c r="B7" s="117"/>
      <c r="C7" s="117"/>
      <c r="D7" s="117"/>
      <c r="E7" s="117"/>
      <c r="F7" s="117"/>
      <c r="G7" s="117"/>
      <c r="H7" s="117"/>
      <c r="I7" s="117"/>
      <c r="J7" s="117"/>
      <c r="K7" s="117"/>
      <c r="L7" s="117"/>
      <c r="M7" s="117"/>
      <c r="N7" s="117"/>
      <c r="O7" s="117"/>
      <c r="P7" s="117"/>
      <c r="Q7" s="117"/>
    </row>
    <row r="8" spans="1:18">
      <c r="A8" s="117"/>
      <c r="B8" s="117"/>
      <c r="C8" s="117"/>
      <c r="D8" s="117"/>
      <c r="E8" s="117"/>
      <c r="F8" s="117"/>
      <c r="G8" s="117"/>
      <c r="H8" s="117"/>
      <c r="I8" s="117"/>
      <c r="J8" s="117"/>
      <c r="K8" s="117"/>
      <c r="L8" s="117"/>
      <c r="M8" s="117"/>
      <c r="N8" s="117"/>
      <c r="O8" s="117"/>
      <c r="P8" s="117"/>
      <c r="Q8" s="117"/>
    </row>
    <row r="9" spans="1:18">
      <c r="A9" s="117"/>
      <c r="B9" s="117"/>
      <c r="C9" s="117"/>
      <c r="D9" s="117"/>
      <c r="E9" s="117"/>
      <c r="F9" s="117"/>
      <c r="G9" s="117"/>
      <c r="H9" s="117"/>
      <c r="I9" s="117"/>
      <c r="J9" s="117"/>
      <c r="K9" s="117"/>
      <c r="L9" s="117"/>
      <c r="M9" s="117"/>
      <c r="N9" s="117"/>
      <c r="O9" s="117"/>
      <c r="P9" s="117"/>
      <c r="Q9" s="117"/>
    </row>
    <row r="10" spans="1:18">
      <c r="A10" s="117"/>
      <c r="B10" s="117"/>
      <c r="C10" s="117"/>
      <c r="D10" s="117"/>
      <c r="E10" s="117"/>
      <c r="F10" s="117"/>
      <c r="G10" s="117"/>
      <c r="H10" s="117"/>
      <c r="I10" s="117"/>
      <c r="J10" s="117"/>
      <c r="K10" s="117"/>
      <c r="L10" s="117"/>
      <c r="M10" s="117"/>
      <c r="N10" s="117"/>
      <c r="O10" s="117"/>
      <c r="P10" s="117"/>
      <c r="Q10" s="117"/>
    </row>
    <row r="11" spans="1:18">
      <c r="A11" s="117"/>
      <c r="B11" s="117"/>
      <c r="C11" s="117"/>
      <c r="D11" s="117"/>
      <c r="E11" s="117"/>
      <c r="F11" s="117"/>
      <c r="G11" s="117"/>
      <c r="H11" s="117"/>
      <c r="I11" s="117"/>
      <c r="J11" s="117"/>
      <c r="K11" s="117"/>
      <c r="L11" s="117"/>
      <c r="M11" s="117"/>
      <c r="N11" s="117"/>
      <c r="O11" s="117"/>
      <c r="P11" s="117"/>
      <c r="Q11" s="117"/>
    </row>
    <row r="12" spans="1:18">
      <c r="A12" s="117"/>
      <c r="B12" s="117"/>
      <c r="C12" s="117"/>
      <c r="D12" s="117"/>
      <c r="E12" s="117"/>
      <c r="F12" s="117"/>
      <c r="G12" s="117"/>
      <c r="H12" s="117"/>
      <c r="I12" s="117"/>
      <c r="J12" s="117"/>
      <c r="K12" s="117"/>
      <c r="L12" s="117"/>
      <c r="M12" s="117"/>
      <c r="N12" s="117"/>
      <c r="O12" s="117"/>
      <c r="P12" s="117"/>
      <c r="Q12" s="117"/>
    </row>
    <row r="13" spans="1:18">
      <c r="A13" s="117"/>
      <c r="B13" s="117"/>
      <c r="C13" s="117"/>
      <c r="D13" s="117"/>
      <c r="E13" s="117"/>
      <c r="F13" s="117"/>
      <c r="G13" s="117"/>
      <c r="H13" s="117"/>
      <c r="I13" s="117"/>
      <c r="J13" s="117"/>
      <c r="K13" s="117"/>
      <c r="L13" s="117"/>
      <c r="M13" s="117"/>
      <c r="N13" s="117"/>
      <c r="O13" s="117"/>
      <c r="P13" s="117"/>
      <c r="Q13" s="117"/>
    </row>
    <row r="14" spans="1:18">
      <c r="A14" s="82"/>
      <c r="B14" s="82"/>
      <c r="C14" s="82"/>
      <c r="D14" s="82"/>
      <c r="E14" s="82"/>
      <c r="F14" s="82"/>
      <c r="G14" s="82"/>
      <c r="H14" s="82"/>
      <c r="I14" s="82"/>
      <c r="J14" s="82"/>
      <c r="K14" s="82"/>
      <c r="L14" s="82"/>
      <c r="M14" s="82"/>
      <c r="N14" s="82"/>
      <c r="O14" s="82"/>
      <c r="P14" s="82"/>
      <c r="Q14" s="82"/>
    </row>
    <row r="15" spans="1:18" ht="106.5" customHeight="1">
      <c r="A15" s="120"/>
      <c r="B15" s="121"/>
      <c r="C15" s="50" t="s">
        <v>196</v>
      </c>
      <c r="D15" s="50" t="s">
        <v>164</v>
      </c>
      <c r="E15" s="50"/>
      <c r="F15" s="50"/>
      <c r="G15" s="50"/>
      <c r="H15" s="51" t="s">
        <v>185</v>
      </c>
      <c r="I15" s="51" t="s">
        <v>186</v>
      </c>
      <c r="J15" s="51" t="s">
        <v>309</v>
      </c>
      <c r="K15" s="51" t="s">
        <v>187</v>
      </c>
      <c r="L15" s="50" t="s">
        <v>167</v>
      </c>
      <c r="M15" s="51" t="s">
        <v>188</v>
      </c>
      <c r="N15" s="51" t="s">
        <v>310</v>
      </c>
      <c r="O15" s="51" t="s">
        <v>189</v>
      </c>
      <c r="P15" s="51" t="s">
        <v>190</v>
      </c>
      <c r="Q15" s="51" t="s">
        <v>195</v>
      </c>
      <c r="R15" s="61" t="s">
        <v>199</v>
      </c>
    </row>
    <row r="16" spans="1:18" s="10" customFormat="1">
      <c r="A16" s="108" t="s">
        <v>183</v>
      </c>
      <c r="B16" s="108"/>
      <c r="C16" s="27">
        <f t="shared" ref="C16:D16" si="0">C78</f>
        <v>9690405</v>
      </c>
      <c r="D16" s="52">
        <f t="shared" si="0"/>
        <v>1</v>
      </c>
      <c r="E16" s="89"/>
      <c r="F16" s="89"/>
      <c r="G16" s="89"/>
      <c r="H16" s="27">
        <f t="shared" ref="H16:J16" si="1">H78</f>
        <v>2650550.376689001</v>
      </c>
      <c r="I16" s="27">
        <f t="shared" si="1"/>
        <v>858496.10547700012</v>
      </c>
      <c r="J16" s="27">
        <f t="shared" si="1"/>
        <v>1792054.2712120002</v>
      </c>
      <c r="K16" s="27">
        <f t="shared" ref="K16:Q16" si="2">K78</f>
        <v>12035152.871211996</v>
      </c>
      <c r="L16" s="27">
        <f t="shared" si="2"/>
        <v>284160708</v>
      </c>
      <c r="M16" s="27">
        <f t="shared" si="2"/>
        <v>3021.164014966489</v>
      </c>
      <c r="N16" s="27">
        <f t="shared" si="2"/>
        <v>6306.4815815844613</v>
      </c>
      <c r="O16" s="27">
        <f t="shared" si="2"/>
        <v>42353.33222498867</v>
      </c>
      <c r="P16" s="27">
        <f t="shared" si="2"/>
        <v>21256.538146705367</v>
      </c>
      <c r="Q16" s="27">
        <f t="shared" si="2"/>
        <v>-14790.312496698842</v>
      </c>
      <c r="R16" s="78"/>
    </row>
    <row r="17" spans="1:18" s="10" customFormat="1">
      <c r="A17" s="108" t="s">
        <v>181</v>
      </c>
      <c r="B17" s="108"/>
      <c r="C17" s="27">
        <f>C16</f>
        <v>9690405</v>
      </c>
      <c r="D17" s="89"/>
      <c r="E17" s="89"/>
      <c r="F17" s="89"/>
      <c r="G17" s="89"/>
      <c r="H17" s="89">
        <v>911500</v>
      </c>
      <c r="I17" s="89">
        <v>6848600</v>
      </c>
      <c r="J17" s="89">
        <f>H17-I17</f>
        <v>-5937100</v>
      </c>
      <c r="K17" s="27">
        <f>F17+J17</f>
        <v>-5937100</v>
      </c>
      <c r="L17" s="27">
        <f>L16</f>
        <v>284160708</v>
      </c>
      <c r="M17" s="27">
        <f>(I17/L17*1000000)</f>
        <v>24101.150536266257</v>
      </c>
      <c r="N17" s="27">
        <f>(J17/L17)*1000000</f>
        <v>-20893.458641016619</v>
      </c>
      <c r="O17" s="27">
        <f>(K17*1000000)/L17</f>
        <v>-20893.458641016619</v>
      </c>
      <c r="P17" s="59" t="s">
        <v>184</v>
      </c>
      <c r="Q17" s="59" t="s">
        <v>184</v>
      </c>
      <c r="R17" s="78"/>
    </row>
    <row r="18" spans="1:18" s="10" customFormat="1">
      <c r="A18" s="108" t="s">
        <v>182</v>
      </c>
      <c r="B18" s="108"/>
      <c r="C18" s="27">
        <f>C16</f>
        <v>9690405</v>
      </c>
      <c r="D18" s="89"/>
      <c r="E18" s="89"/>
      <c r="F18" s="89"/>
      <c r="G18" s="89"/>
      <c r="H18" s="27">
        <f>H16+H17</f>
        <v>3562050.376689001</v>
      </c>
      <c r="I18" s="27">
        <f>I16+I17</f>
        <v>7707096.1054769997</v>
      </c>
      <c r="J18" s="27">
        <f>J16+J17</f>
        <v>-4145045.7287879996</v>
      </c>
      <c r="K18" s="27">
        <f>F18+J18</f>
        <v>-4145045.7287879996</v>
      </c>
      <c r="L18" s="27">
        <f>L16</f>
        <v>284160708</v>
      </c>
      <c r="M18" s="27">
        <f>(I18/L18)*1000000</f>
        <v>27122.31455123275</v>
      </c>
      <c r="N18" s="27">
        <f>(J18/L18)*1000000</f>
        <v>-14586.977059432156</v>
      </c>
      <c r="O18" s="27">
        <f>(K18*1000000)/L18</f>
        <v>-14586.977059432156</v>
      </c>
      <c r="P18" s="59" t="s">
        <v>184</v>
      </c>
      <c r="Q18" s="59" t="s">
        <v>184</v>
      </c>
      <c r="R18" s="78"/>
    </row>
    <row r="19" spans="1:18" s="81" customFormat="1" ht="13.25" customHeight="1">
      <c r="A19" s="93" t="s">
        <v>194</v>
      </c>
      <c r="B19" s="94"/>
      <c r="C19" s="53"/>
      <c r="D19" s="54"/>
      <c r="G19" s="80"/>
      <c r="H19" s="58">
        <f>H17/H16</f>
        <v>0.34389084169704492</v>
      </c>
      <c r="I19" s="58">
        <f>I17/I16</f>
        <v>7.9774386351988875</v>
      </c>
      <c r="J19" s="80"/>
      <c r="K19" s="80"/>
      <c r="L19" s="80"/>
      <c r="M19" s="80"/>
      <c r="N19" s="80"/>
      <c r="O19" s="80"/>
      <c r="P19" s="80"/>
      <c r="Q19" s="80"/>
      <c r="R19" s="79"/>
    </row>
    <row r="20" spans="1:18" s="81" customFormat="1">
      <c r="A20" s="87"/>
      <c r="B20" s="88"/>
      <c r="C20" s="80"/>
      <c r="D20" s="80"/>
      <c r="E20" s="80"/>
      <c r="F20" s="80"/>
      <c r="G20" s="80"/>
      <c r="H20" s="80"/>
      <c r="I20" s="80"/>
      <c r="J20" s="80"/>
      <c r="K20" s="80"/>
      <c r="L20" s="80"/>
      <c r="M20" s="80"/>
      <c r="N20" s="80"/>
      <c r="O20" s="80"/>
      <c r="P20" s="80"/>
      <c r="Q20" s="80"/>
      <c r="R20" s="79"/>
    </row>
    <row r="21" spans="1:18">
      <c r="A21" s="103" t="s">
        <v>1</v>
      </c>
      <c r="B21" s="103"/>
      <c r="C21" s="27">
        <f t="shared" ref="C21:D24" si="3">C79</f>
        <v>5399330</v>
      </c>
      <c r="D21" s="95">
        <f t="shared" si="3"/>
        <v>0.55718311050982905</v>
      </c>
      <c r="E21" s="27"/>
      <c r="F21" s="27"/>
      <c r="G21" s="27"/>
      <c r="H21" s="27">
        <f t="shared" ref="H21:Q21" si="4">H79</f>
        <v>1495732</v>
      </c>
      <c r="I21" s="27">
        <f t="shared" si="4"/>
        <v>566156</v>
      </c>
      <c r="J21" s="27">
        <f t="shared" si="4"/>
        <v>929576</v>
      </c>
      <c r="K21" s="27">
        <f t="shared" si="4"/>
        <v>6745175.8999999994</v>
      </c>
      <c r="L21" s="27">
        <f t="shared" si="4"/>
        <v>150098145</v>
      </c>
      <c r="M21" s="27">
        <f t="shared" si="4"/>
        <v>3771.905375646048</v>
      </c>
      <c r="N21" s="27">
        <f t="shared" si="4"/>
        <v>6193.1211741490879</v>
      </c>
      <c r="O21" s="27">
        <f t="shared" si="4"/>
        <v>44938.436114583557</v>
      </c>
      <c r="P21" s="27">
        <f t="shared" si="4"/>
        <v>23841.642036300254</v>
      </c>
      <c r="Q21" s="27">
        <f t="shared" si="4"/>
        <v>-14903.672904134215</v>
      </c>
      <c r="R21" s="18"/>
    </row>
    <row r="22" spans="1:18">
      <c r="A22" s="103" t="s">
        <v>4</v>
      </c>
      <c r="B22" s="103"/>
      <c r="C22" s="27">
        <f t="shared" si="3"/>
        <v>7558092</v>
      </c>
      <c r="D22" s="95">
        <f t="shared" si="3"/>
        <v>0.7799562556982913</v>
      </c>
      <c r="E22" s="27"/>
      <c r="F22" s="27"/>
      <c r="G22" s="27"/>
      <c r="H22" s="27">
        <f t="shared" ref="H22:Q22" si="5">H80</f>
        <v>2010758</v>
      </c>
      <c r="I22" s="27">
        <f t="shared" si="5"/>
        <v>693972</v>
      </c>
      <c r="J22" s="27">
        <f t="shared" si="5"/>
        <v>1316786</v>
      </c>
      <c r="K22" s="27">
        <f t="shared" si="5"/>
        <v>9349908.8999999985</v>
      </c>
      <c r="L22" s="27">
        <f t="shared" si="5"/>
        <v>213838164</v>
      </c>
      <c r="M22" s="27">
        <f t="shared" si="5"/>
        <v>3245.3140590937733</v>
      </c>
      <c r="N22" s="27">
        <f t="shared" si="5"/>
        <v>6157.8624477901894</v>
      </c>
      <c r="O22" s="27">
        <f t="shared" si="5"/>
        <v>43724.229225986048</v>
      </c>
      <c r="P22" s="27">
        <f t="shared" si="5"/>
        <v>22627.435147702745</v>
      </c>
      <c r="Q22" s="27">
        <f t="shared" si="5"/>
        <v>-14938.931630493113</v>
      </c>
      <c r="R22" s="18"/>
    </row>
    <row r="23" spans="1:18">
      <c r="A23" s="103" t="s">
        <v>3</v>
      </c>
      <c r="B23" s="103"/>
      <c r="C23" s="27">
        <f t="shared" si="3"/>
        <v>8833864</v>
      </c>
      <c r="D23" s="95">
        <f t="shared" si="3"/>
        <v>0.91160937029979661</v>
      </c>
      <c r="E23" s="27"/>
      <c r="F23" s="27"/>
      <c r="G23" s="27"/>
      <c r="H23" s="27">
        <f t="shared" ref="H23:Q23" si="6">H81</f>
        <v>2330724.5099999998</v>
      </c>
      <c r="I23" s="27">
        <f t="shared" si="6"/>
        <v>782745.10100000014</v>
      </c>
      <c r="J23" s="27">
        <f t="shared" si="6"/>
        <v>1547979.4090000002</v>
      </c>
      <c r="K23" s="27">
        <f t="shared" si="6"/>
        <v>10907494.608999999</v>
      </c>
      <c r="L23" s="27">
        <f t="shared" si="6"/>
        <v>255286738</v>
      </c>
      <c r="M23" s="27">
        <f t="shared" si="6"/>
        <v>3066.1408701927953</v>
      </c>
      <c r="N23" s="27">
        <f t="shared" si="6"/>
        <v>6063.6890937906855</v>
      </c>
      <c r="O23" s="27">
        <f t="shared" si="6"/>
        <v>42726.44436782298</v>
      </c>
      <c r="P23" s="27">
        <f t="shared" si="6"/>
        <v>21629.650289539677</v>
      </c>
      <c r="Q23" s="27">
        <f t="shared" si="6"/>
        <v>-15033.104984492616</v>
      </c>
      <c r="R23" s="18"/>
    </row>
    <row r="24" spans="1:18">
      <c r="A24" s="103" t="s">
        <v>2</v>
      </c>
      <c r="B24" s="103"/>
      <c r="C24" s="27">
        <f t="shared" si="3"/>
        <v>9420429</v>
      </c>
      <c r="D24" s="95">
        <f t="shared" si="3"/>
        <v>0.97213986412332609</v>
      </c>
      <c r="E24" s="27"/>
      <c r="F24" s="27"/>
      <c r="G24" s="27"/>
      <c r="H24" s="27">
        <f t="shared" ref="H24:Q24" si="7">H82</f>
        <v>2527023.1280000005</v>
      </c>
      <c r="I24" s="27">
        <f t="shared" si="7"/>
        <v>833547.67100000009</v>
      </c>
      <c r="J24" s="27">
        <f t="shared" si="7"/>
        <v>1693475.4570000002</v>
      </c>
      <c r="K24" s="27">
        <f t="shared" si="7"/>
        <v>11658070.556999998</v>
      </c>
      <c r="L24" s="27">
        <f t="shared" si="7"/>
        <v>275706361</v>
      </c>
      <c r="M24" s="27">
        <f t="shared" si="7"/>
        <v>3023.3167924623986</v>
      </c>
      <c r="N24" s="27">
        <f t="shared" si="7"/>
        <v>6142.3155086363795</v>
      </c>
      <c r="O24" s="27">
        <f t="shared" si="7"/>
        <v>42284.372818659773</v>
      </c>
      <c r="P24" s="27">
        <f t="shared" si="7"/>
        <v>21187.57874037647</v>
      </c>
      <c r="Q24" s="27">
        <f t="shared" si="7"/>
        <v>-14954.478569646923</v>
      </c>
      <c r="R24" s="18"/>
    </row>
    <row r="25" spans="1:18">
      <c r="A25" s="96"/>
      <c r="B25" s="96"/>
      <c r="C25" s="96"/>
      <c r="D25" s="96"/>
      <c r="E25" s="96"/>
      <c r="F25" s="96"/>
      <c r="G25" s="96"/>
      <c r="H25" s="96"/>
      <c r="I25" s="96"/>
      <c r="J25" s="96"/>
      <c r="K25" s="96"/>
      <c r="L25" s="96"/>
      <c r="M25" s="96"/>
      <c r="N25" s="96"/>
      <c r="O25" s="96"/>
      <c r="P25" s="96"/>
      <c r="Q25" s="96"/>
    </row>
    <row r="26" spans="1:18">
      <c r="A26" s="97"/>
      <c r="B26" s="97"/>
      <c r="C26" s="97"/>
      <c r="D26" s="97"/>
      <c r="E26" s="97"/>
      <c r="F26" s="97"/>
      <c r="G26" s="97"/>
      <c r="H26" s="97"/>
      <c r="I26" s="97"/>
      <c r="J26" s="97"/>
      <c r="K26" s="97"/>
      <c r="L26" s="97"/>
      <c r="M26" s="97"/>
      <c r="N26" s="97"/>
      <c r="O26" s="97"/>
      <c r="P26" s="97"/>
      <c r="Q26" s="97"/>
    </row>
    <row r="27" spans="1:18" ht="106.5" customHeight="1">
      <c r="A27" s="11" t="s">
        <v>45</v>
      </c>
      <c r="B27" s="11" t="s">
        <v>165</v>
      </c>
      <c r="C27" s="9" t="s">
        <v>196</v>
      </c>
      <c r="D27" s="9" t="s">
        <v>164</v>
      </c>
      <c r="E27" s="9" t="s">
        <v>197</v>
      </c>
      <c r="F27" s="9" t="s">
        <v>198</v>
      </c>
      <c r="G27" s="9" t="s">
        <v>164</v>
      </c>
      <c r="H27" s="51" t="s">
        <v>185</v>
      </c>
      <c r="I27" s="51" t="s">
        <v>186</v>
      </c>
      <c r="J27" s="51" t="s">
        <v>192</v>
      </c>
      <c r="K27" s="51" t="s">
        <v>187</v>
      </c>
      <c r="L27" s="50" t="s">
        <v>167</v>
      </c>
      <c r="M27" s="51" t="s">
        <v>188</v>
      </c>
      <c r="N27" s="51" t="s">
        <v>193</v>
      </c>
      <c r="O27" s="51" t="s">
        <v>189</v>
      </c>
      <c r="P27" s="51" t="s">
        <v>190</v>
      </c>
      <c r="Q27" s="51" t="s">
        <v>195</v>
      </c>
      <c r="R27" s="61" t="s">
        <v>199</v>
      </c>
    </row>
    <row r="28" spans="1:18">
      <c r="A28" s="14">
        <v>1</v>
      </c>
      <c r="B28" s="15" t="s">
        <v>46</v>
      </c>
      <c r="C28" s="16">
        <v>1287145</v>
      </c>
      <c r="D28" s="17">
        <f t="shared" ref="D28:D77" si="8">C28/$C$78</f>
        <v>0.132826749759169</v>
      </c>
      <c r="E28" s="17"/>
      <c r="F28" s="17"/>
      <c r="G28" s="17"/>
      <c r="H28" s="16">
        <v>471272</v>
      </c>
      <c r="I28" s="16">
        <v>121498</v>
      </c>
      <c r="J28" s="16">
        <f>H28-I28</f>
        <v>349774</v>
      </c>
      <c r="K28" s="16">
        <f t="shared" ref="K28:K77" si="9">C28+J28</f>
        <v>1636919</v>
      </c>
      <c r="L28" s="16">
        <v>33871648</v>
      </c>
      <c r="M28" s="16">
        <f>I28*1000000/L28</f>
        <v>3587.0117686626882</v>
      </c>
      <c r="N28" s="16">
        <f>J28*1000000/L28</f>
        <v>10326.45355785464</v>
      </c>
      <c r="O28" s="16">
        <f>K28*1000000/L28</f>
        <v>48327.114169348948</v>
      </c>
      <c r="P28" s="16">
        <f>O28+$E$87</f>
        <v>27230.320091065645</v>
      </c>
      <c r="Q28" s="16">
        <f>N28+$E$87</f>
        <v>-10770.340520428663</v>
      </c>
      <c r="R28" s="62"/>
    </row>
    <row r="29" spans="1:18">
      <c r="A29" s="14">
        <v>2</v>
      </c>
      <c r="B29" s="15" t="s">
        <v>200</v>
      </c>
      <c r="C29" s="16">
        <v>727233</v>
      </c>
      <c r="D29" s="17">
        <f t="shared" si="8"/>
        <v>7.5046708574099841E-2</v>
      </c>
      <c r="E29" s="98">
        <v>2002</v>
      </c>
      <c r="F29" s="16">
        <v>787257.8</v>
      </c>
      <c r="G29" s="17">
        <f>F29/D104</f>
        <v>7.1715581872010936E-2</v>
      </c>
      <c r="H29" s="16">
        <v>133231</v>
      </c>
      <c r="I29" s="16">
        <v>38359</v>
      </c>
      <c r="J29" s="16">
        <f t="shared" ref="J29:J77" si="10">H29-I29</f>
        <v>94872</v>
      </c>
      <c r="K29" s="16">
        <f>F29+J29</f>
        <v>882129.8</v>
      </c>
      <c r="L29" s="16">
        <v>21674681</v>
      </c>
      <c r="M29" s="16">
        <f t="shared" ref="M29:M77" si="11">I29*1000000/L29</f>
        <v>1769.760763722428</v>
      </c>
      <c r="N29" s="16">
        <f t="shared" ref="N29:N77" si="12">J29*1000000/L29</f>
        <v>4377.0886408893402</v>
      </c>
      <c r="O29" s="16">
        <f t="shared" ref="O29:O77" si="13">K29*1000000/L29</f>
        <v>40698.628967134508</v>
      </c>
      <c r="P29" s="16">
        <f t="shared" ref="P29:P78" si="14">O29+$E$87</f>
        <v>19601.834888851205</v>
      </c>
      <c r="Q29" s="16">
        <f t="shared" ref="Q29:Q77" si="15">N29+$E$87</f>
        <v>-16719.705437393961</v>
      </c>
      <c r="R29" s="62"/>
    </row>
    <row r="30" spans="1:18">
      <c r="A30" s="14">
        <v>3</v>
      </c>
      <c r="B30" s="15" t="s">
        <v>201</v>
      </c>
      <c r="C30" s="16">
        <v>777157</v>
      </c>
      <c r="D30" s="17">
        <f t="shared" si="8"/>
        <v>8.0198608830074694E-2</v>
      </c>
      <c r="E30" s="98">
        <v>2003</v>
      </c>
      <c r="F30" s="16">
        <v>1049993</v>
      </c>
      <c r="G30" s="17">
        <f>F30/D105</f>
        <v>9.1218865924748274E-2</v>
      </c>
      <c r="H30" s="16">
        <v>112723</v>
      </c>
      <c r="I30" s="16">
        <v>67827</v>
      </c>
      <c r="J30" s="16">
        <f t="shared" si="10"/>
        <v>44896</v>
      </c>
      <c r="K30" s="16">
        <f>F30+J30</f>
        <v>1094889</v>
      </c>
      <c r="L30" s="16">
        <v>19190115</v>
      </c>
      <c r="M30" s="16">
        <f t="shared" si="11"/>
        <v>3534.475952853852</v>
      </c>
      <c r="N30" s="16">
        <f t="shared" si="12"/>
        <v>2339.5378297628754</v>
      </c>
      <c r="O30" s="16">
        <f t="shared" si="13"/>
        <v>57054.843079366641</v>
      </c>
      <c r="P30" s="16">
        <f t="shared" si="14"/>
        <v>35958.049001083338</v>
      </c>
      <c r="Q30" s="16">
        <f t="shared" si="15"/>
        <v>-18757.256248520429</v>
      </c>
      <c r="R30" s="62"/>
    </row>
    <row r="31" spans="1:18">
      <c r="A31" s="14">
        <v>4</v>
      </c>
      <c r="B31" s="15" t="s">
        <v>47</v>
      </c>
      <c r="C31" s="16">
        <v>471316</v>
      </c>
      <c r="D31" s="17">
        <f t="shared" si="8"/>
        <v>4.8637389252564778E-2</v>
      </c>
      <c r="E31" s="17"/>
      <c r="F31" s="17"/>
      <c r="G31" s="17"/>
      <c r="H31" s="16">
        <v>204373</v>
      </c>
      <c r="I31" s="16">
        <v>54032</v>
      </c>
      <c r="J31" s="16">
        <f t="shared" si="10"/>
        <v>150341</v>
      </c>
      <c r="K31" s="16">
        <f t="shared" si="9"/>
        <v>621657</v>
      </c>
      <c r="L31" s="16">
        <v>15982378</v>
      </c>
      <c r="M31" s="16">
        <f t="shared" si="11"/>
        <v>3380.7234442834479</v>
      </c>
      <c r="N31" s="16">
        <f t="shared" si="12"/>
        <v>9406.672774226714</v>
      </c>
      <c r="O31" s="16">
        <f t="shared" si="13"/>
        <v>38896.402024780044</v>
      </c>
      <c r="P31" s="16">
        <f t="shared" si="14"/>
        <v>17799.607946496741</v>
      </c>
      <c r="Q31" s="16">
        <f t="shared" si="15"/>
        <v>-11690.121304056589</v>
      </c>
      <c r="R31" s="62"/>
    </row>
    <row r="32" spans="1:18">
      <c r="A32" s="14">
        <v>5</v>
      </c>
      <c r="B32" s="15" t="s">
        <v>202</v>
      </c>
      <c r="C32" s="16">
        <v>464194</v>
      </c>
      <c r="D32" s="17">
        <f t="shared" si="8"/>
        <v>4.7902435450324313E-2</v>
      </c>
      <c r="E32" s="17"/>
      <c r="F32" s="17"/>
      <c r="G32" s="17"/>
      <c r="H32" s="16">
        <v>105287</v>
      </c>
      <c r="I32" s="16">
        <v>39910</v>
      </c>
      <c r="J32" s="16">
        <f t="shared" si="10"/>
        <v>65377</v>
      </c>
      <c r="K32" s="16">
        <f t="shared" si="9"/>
        <v>529571</v>
      </c>
      <c r="L32" s="16">
        <v>12419293</v>
      </c>
      <c r="M32" s="16">
        <f t="shared" si="11"/>
        <v>3213.5484684997768</v>
      </c>
      <c r="N32" s="16">
        <f t="shared" si="12"/>
        <v>5264.1482892786244</v>
      </c>
      <c r="O32" s="16">
        <f t="shared" si="13"/>
        <v>42640.994137105874</v>
      </c>
      <c r="P32" s="16">
        <f t="shared" si="14"/>
        <v>21544.200058822571</v>
      </c>
      <c r="Q32" s="16">
        <f t="shared" si="15"/>
        <v>-15832.645789004679</v>
      </c>
      <c r="R32" s="63"/>
    </row>
    <row r="33" spans="1:18">
      <c r="A33" s="14">
        <v>6</v>
      </c>
      <c r="B33" s="15" t="s">
        <v>203</v>
      </c>
      <c r="C33" s="16">
        <v>389619</v>
      </c>
      <c r="D33" s="17">
        <f t="shared" si="8"/>
        <v>4.0206678668229037E-2</v>
      </c>
      <c r="E33" s="98">
        <v>2002</v>
      </c>
      <c r="F33" s="16">
        <v>436985.5</v>
      </c>
      <c r="G33" s="17">
        <f>F33/D104</f>
        <v>3.9807378729218856E-2</v>
      </c>
      <c r="H33" s="16">
        <v>37361</v>
      </c>
      <c r="I33" s="16">
        <v>16151</v>
      </c>
      <c r="J33" s="16">
        <f t="shared" si="10"/>
        <v>21210</v>
      </c>
      <c r="K33" s="16">
        <f>F33+J33</f>
        <v>458195.5</v>
      </c>
      <c r="L33" s="16">
        <v>12334990</v>
      </c>
      <c r="M33" s="16">
        <f t="shared" si="11"/>
        <v>1309.3646610171552</v>
      </c>
      <c r="N33" s="16">
        <f t="shared" si="12"/>
        <v>1719.4987592207208</v>
      </c>
      <c r="O33" s="16">
        <f t="shared" si="13"/>
        <v>37145.996875554825</v>
      </c>
      <c r="P33" s="16">
        <f t="shared" si="14"/>
        <v>16049.202797271522</v>
      </c>
      <c r="Q33" s="16">
        <f t="shared" si="15"/>
        <v>-19377.295319062581</v>
      </c>
      <c r="R33" s="62"/>
    </row>
    <row r="34" spans="1:18">
      <c r="A34" s="14">
        <v>7</v>
      </c>
      <c r="B34" s="15" t="s">
        <v>50</v>
      </c>
      <c r="C34" s="16">
        <v>372006</v>
      </c>
      <c r="D34" s="17">
        <f t="shared" si="8"/>
        <v>3.8389107575999143E-2</v>
      </c>
      <c r="E34" s="17"/>
      <c r="F34" s="17"/>
      <c r="G34" s="17"/>
      <c r="H34" s="16">
        <v>195795</v>
      </c>
      <c r="I34" s="16">
        <v>168535</v>
      </c>
      <c r="J34" s="16">
        <f t="shared" si="10"/>
        <v>27260</v>
      </c>
      <c r="K34" s="16">
        <f t="shared" si="9"/>
        <v>399266</v>
      </c>
      <c r="L34" s="16">
        <v>11353140</v>
      </c>
      <c r="M34" s="16">
        <f t="shared" si="11"/>
        <v>14844.791837324299</v>
      </c>
      <c r="N34" s="16">
        <f t="shared" si="12"/>
        <v>2401.0978460584474</v>
      </c>
      <c r="O34" s="16">
        <f t="shared" si="13"/>
        <v>35167.89187837021</v>
      </c>
      <c r="P34" s="16">
        <f t="shared" si="14"/>
        <v>14071.097800086907</v>
      </c>
      <c r="Q34" s="16">
        <f t="shared" si="15"/>
        <v>-18695.696232224855</v>
      </c>
      <c r="R34" s="62"/>
    </row>
    <row r="35" spans="1:18">
      <c r="A35" s="14">
        <v>8</v>
      </c>
      <c r="B35" s="15" t="s">
        <v>51</v>
      </c>
      <c r="C35" s="16">
        <v>344824</v>
      </c>
      <c r="D35" s="17">
        <f t="shared" si="8"/>
        <v>3.5584064855906435E-2</v>
      </c>
      <c r="E35" s="17"/>
      <c r="F35" s="17"/>
      <c r="G35" s="17"/>
      <c r="H35" s="16">
        <v>125635</v>
      </c>
      <c r="I35" s="16">
        <v>20320</v>
      </c>
      <c r="J35" s="16">
        <f t="shared" si="10"/>
        <v>105315</v>
      </c>
      <c r="K35" s="16">
        <f t="shared" si="9"/>
        <v>450139</v>
      </c>
      <c r="L35" s="16">
        <v>8414350</v>
      </c>
      <c r="M35" s="16">
        <f t="shared" si="11"/>
        <v>2414.9221270805233</v>
      </c>
      <c r="N35" s="16">
        <f t="shared" si="12"/>
        <v>12516.11829790774</v>
      </c>
      <c r="O35" s="16">
        <f t="shared" si="13"/>
        <v>53496.586189069865</v>
      </c>
      <c r="P35" s="16">
        <f t="shared" si="14"/>
        <v>32399.792110786562</v>
      </c>
      <c r="Q35" s="16">
        <f t="shared" si="15"/>
        <v>-8580.6757803755627</v>
      </c>
      <c r="R35" s="64"/>
    </row>
    <row r="36" spans="1:18">
      <c r="A36" s="14">
        <v>9</v>
      </c>
      <c r="B36" s="15" t="s">
        <v>52</v>
      </c>
      <c r="C36" s="16">
        <v>290887</v>
      </c>
      <c r="D36" s="17">
        <f t="shared" si="8"/>
        <v>3.0018043621499825E-2</v>
      </c>
      <c r="E36" s="98">
        <v>2002</v>
      </c>
      <c r="F36" s="16">
        <v>326929.59999999998</v>
      </c>
      <c r="G36" s="17">
        <f>F36/D104</f>
        <v>2.9781790025051238E-2</v>
      </c>
      <c r="H36" s="16">
        <v>31350</v>
      </c>
      <c r="I36" s="16">
        <v>10079</v>
      </c>
      <c r="J36" s="16">
        <f t="shared" si="10"/>
        <v>21271</v>
      </c>
      <c r="K36" s="16">
        <f>F36+J36</f>
        <v>348200.6</v>
      </c>
      <c r="L36" s="16">
        <v>8508453</v>
      </c>
      <c r="M36" s="16">
        <f t="shared" si="11"/>
        <v>1184.5866692805378</v>
      </c>
      <c r="N36" s="16">
        <f t="shared" si="12"/>
        <v>2499.9844272513465</v>
      </c>
      <c r="O36" s="16">
        <f t="shared" si="13"/>
        <v>40924.078677992344</v>
      </c>
      <c r="P36" s="16">
        <f t="shared" si="14"/>
        <v>19827.284599709041</v>
      </c>
      <c r="Q36" s="16">
        <f t="shared" si="15"/>
        <v>-18596.809651031956</v>
      </c>
      <c r="R36" s="62"/>
    </row>
    <row r="37" spans="1:18">
      <c r="A37" s="14">
        <v>10</v>
      </c>
      <c r="B37" s="15" t="s">
        <v>71</v>
      </c>
      <c r="C37" s="16">
        <v>274949</v>
      </c>
      <c r="D37" s="17">
        <f t="shared" si="8"/>
        <v>2.8373323921961981E-2</v>
      </c>
      <c r="E37" s="17"/>
      <c r="F37" s="17"/>
      <c r="G37" s="17"/>
      <c r="H37" s="16">
        <v>78705</v>
      </c>
      <c r="I37" s="16">
        <v>29445</v>
      </c>
      <c r="J37" s="16">
        <f t="shared" si="10"/>
        <v>49260</v>
      </c>
      <c r="K37" s="16">
        <f t="shared" si="9"/>
        <v>324209</v>
      </c>
      <c r="L37" s="16">
        <v>6349097</v>
      </c>
      <c r="M37" s="16">
        <f t="shared" si="11"/>
        <v>4637.6673722263185</v>
      </c>
      <c r="N37" s="16">
        <f t="shared" si="12"/>
        <v>7758.5836222064336</v>
      </c>
      <c r="O37" s="16">
        <f t="shared" si="13"/>
        <v>51063.79694624291</v>
      </c>
      <c r="P37" s="16">
        <f t="shared" si="14"/>
        <v>29967.002867959607</v>
      </c>
      <c r="Q37" s="16">
        <f t="shared" si="15"/>
        <v>-13338.210456076869</v>
      </c>
      <c r="R37" s="62" t="s">
        <v>204</v>
      </c>
    </row>
    <row r="38" spans="1:18">
      <c r="A38" s="14">
        <v>11</v>
      </c>
      <c r="B38" s="15" t="s">
        <v>70</v>
      </c>
      <c r="C38" s="16">
        <v>273698</v>
      </c>
      <c r="D38" s="17">
        <f t="shared" si="8"/>
        <v>2.8244227150464814E-2</v>
      </c>
      <c r="E38" s="17"/>
      <c r="F38" s="17"/>
      <c r="G38" s="17"/>
      <c r="H38" s="16">
        <v>89048</v>
      </c>
      <c r="I38" s="16">
        <v>16193</v>
      </c>
      <c r="J38" s="16">
        <f t="shared" si="10"/>
        <v>72855</v>
      </c>
      <c r="K38" s="16">
        <f t="shared" si="9"/>
        <v>346553</v>
      </c>
      <c r="L38" s="16">
        <v>8049313</v>
      </c>
      <c r="M38" s="16">
        <f t="shared" si="11"/>
        <v>2011.7244788468283</v>
      </c>
      <c r="N38" s="16">
        <f t="shared" si="12"/>
        <v>9051.0829930454929</v>
      </c>
      <c r="O38" s="16">
        <f t="shared" si="13"/>
        <v>43053.736387192301</v>
      </c>
      <c r="P38" s="16">
        <f t="shared" si="14"/>
        <v>21956.942308908998</v>
      </c>
      <c r="Q38" s="16">
        <f t="shared" si="15"/>
        <v>-12045.71108523781</v>
      </c>
      <c r="R38" s="64"/>
    </row>
    <row r="39" spans="1:18">
      <c r="A39" s="14">
        <v>12</v>
      </c>
      <c r="B39" s="15" t="s">
        <v>74</v>
      </c>
      <c r="C39" s="16">
        <v>221961</v>
      </c>
      <c r="D39" s="17">
        <f t="shared" si="8"/>
        <v>2.2905234610937315E-2</v>
      </c>
      <c r="E39" s="98">
        <v>2002</v>
      </c>
      <c r="F39" s="16">
        <v>248189.1</v>
      </c>
      <c r="G39" s="17">
        <f>F39/D104</f>
        <v>2.2608890913231611E-2</v>
      </c>
      <c r="H39" s="16">
        <v>45158</v>
      </c>
      <c r="I39" s="16">
        <v>30190</v>
      </c>
      <c r="J39" s="16">
        <f t="shared" si="10"/>
        <v>14968</v>
      </c>
      <c r="K39" s="16">
        <f>F39+J39</f>
        <v>263157.09999999998</v>
      </c>
      <c r="L39" s="16">
        <v>7047121</v>
      </c>
      <c r="M39" s="16">
        <f t="shared" si="11"/>
        <v>4284.0189632049742</v>
      </c>
      <c r="N39" s="16">
        <f t="shared" si="12"/>
        <v>2123.9879377691968</v>
      </c>
      <c r="O39" s="16">
        <f t="shared" si="13"/>
        <v>37342.497737728634</v>
      </c>
      <c r="P39" s="16">
        <f t="shared" si="14"/>
        <v>16245.703659445331</v>
      </c>
      <c r="Q39" s="16">
        <f t="shared" si="15"/>
        <v>-18972.806140514105</v>
      </c>
      <c r="R39" s="62"/>
    </row>
    <row r="40" spans="1:18">
      <c r="A40" s="14">
        <v>13</v>
      </c>
      <c r="B40" s="15" t="s">
        <v>77</v>
      </c>
      <c r="C40" s="16">
        <v>260743</v>
      </c>
      <c r="D40" s="17">
        <f t="shared" si="8"/>
        <v>2.6907337722210784E-2</v>
      </c>
      <c r="E40" s="98">
        <v>2002</v>
      </c>
      <c r="F40" s="16">
        <v>293275.90000000002</v>
      </c>
      <c r="G40" s="17">
        <f>F40/D104</f>
        <v>2.6716092006376681E-2</v>
      </c>
      <c r="H40" s="16">
        <v>20086</v>
      </c>
      <c r="I40" s="16">
        <v>8819</v>
      </c>
      <c r="J40" s="16">
        <f t="shared" si="10"/>
        <v>11267</v>
      </c>
      <c r="K40" s="16">
        <f>F40+J40</f>
        <v>304542.90000000002</v>
      </c>
      <c r="L40" s="16">
        <v>7287515</v>
      </c>
      <c r="M40" s="16">
        <f t="shared" si="11"/>
        <v>1210.1518830492973</v>
      </c>
      <c r="N40" s="16">
        <f t="shared" si="12"/>
        <v>1546.0688588634123</v>
      </c>
      <c r="O40" s="16">
        <f t="shared" si="13"/>
        <v>41789.677276822069</v>
      </c>
      <c r="P40" s="16">
        <f t="shared" si="14"/>
        <v>20692.883198538766</v>
      </c>
      <c r="Q40" s="16">
        <f t="shared" si="15"/>
        <v>-19550.725219419892</v>
      </c>
      <c r="R40" s="62"/>
    </row>
    <row r="41" spans="1:18">
      <c r="A41" s="14">
        <v>14</v>
      </c>
      <c r="B41" s="15" t="s">
        <v>79</v>
      </c>
      <c r="C41" s="16">
        <v>337235</v>
      </c>
      <c r="D41" s="17">
        <f t="shared" si="8"/>
        <v>3.4800919053434812E-2</v>
      </c>
      <c r="E41" s="17"/>
      <c r="F41" s="17"/>
      <c r="G41" s="17"/>
      <c r="H41" s="16">
        <v>83485</v>
      </c>
      <c r="I41" s="16">
        <v>13418</v>
      </c>
      <c r="J41" s="16">
        <f t="shared" si="10"/>
        <v>70067</v>
      </c>
      <c r="K41" s="16">
        <f t="shared" si="9"/>
        <v>407302</v>
      </c>
      <c r="L41" s="16">
        <v>9938444</v>
      </c>
      <c r="M41" s="16">
        <f t="shared" si="11"/>
        <v>1350.1107416814946</v>
      </c>
      <c r="N41" s="16">
        <f t="shared" si="12"/>
        <v>7050.0975806675569</v>
      </c>
      <c r="O41" s="16">
        <f t="shared" si="13"/>
        <v>40982.47170281384</v>
      </c>
      <c r="P41" s="16">
        <f t="shared" si="14"/>
        <v>19885.677624530537</v>
      </c>
      <c r="Q41" s="16">
        <f t="shared" si="15"/>
        <v>-14046.696497615747</v>
      </c>
      <c r="R41" s="62"/>
    </row>
    <row r="42" spans="1:18">
      <c r="A42" s="14">
        <v>15</v>
      </c>
      <c r="B42" s="15" t="s">
        <v>80</v>
      </c>
      <c r="C42" s="16">
        <v>180367</v>
      </c>
      <c r="D42" s="17">
        <f t="shared" si="8"/>
        <v>1.8612947549663816E-2</v>
      </c>
      <c r="E42" s="17"/>
      <c r="F42" s="17"/>
      <c r="G42" s="17"/>
      <c r="H42" s="16">
        <v>68424</v>
      </c>
      <c r="I42" s="16">
        <v>16705</v>
      </c>
      <c r="J42" s="16">
        <f t="shared" si="10"/>
        <v>51719</v>
      </c>
      <c r="K42" s="16">
        <f t="shared" si="9"/>
        <v>232086</v>
      </c>
      <c r="L42" s="16">
        <v>5296486</v>
      </c>
      <c r="M42" s="16">
        <f t="shared" si="11"/>
        <v>3153.9779393356275</v>
      </c>
      <c r="N42" s="16">
        <f t="shared" si="12"/>
        <v>9764.7761175994801</v>
      </c>
      <c r="O42" s="16">
        <f t="shared" si="13"/>
        <v>43818.864054393802</v>
      </c>
      <c r="P42" s="16">
        <f t="shared" si="14"/>
        <v>22722.069976110499</v>
      </c>
      <c r="Q42" s="16">
        <f t="shared" si="15"/>
        <v>-11332.017960683823</v>
      </c>
      <c r="R42" s="62"/>
    </row>
    <row r="43" spans="1:18">
      <c r="A43" s="14">
        <v>16</v>
      </c>
      <c r="B43" s="15" t="s">
        <v>82</v>
      </c>
      <c r="C43" s="16">
        <v>194419</v>
      </c>
      <c r="D43" s="17">
        <f t="shared" si="8"/>
        <v>2.0063041740773477E-2</v>
      </c>
      <c r="E43" s="17"/>
      <c r="F43" s="17"/>
      <c r="G43" s="17"/>
      <c r="H43" s="16">
        <v>36376</v>
      </c>
      <c r="I43" s="16">
        <v>9899</v>
      </c>
      <c r="J43" s="16">
        <f t="shared" si="10"/>
        <v>26477</v>
      </c>
      <c r="K43" s="16">
        <f t="shared" si="9"/>
        <v>220896</v>
      </c>
      <c r="L43" s="16">
        <v>6080485</v>
      </c>
      <c r="M43" s="16">
        <f t="shared" si="11"/>
        <v>1627.9951352564804</v>
      </c>
      <c r="N43" s="16">
        <f t="shared" si="12"/>
        <v>4354.4223857142979</v>
      </c>
      <c r="O43" s="16">
        <f t="shared" si="13"/>
        <v>36328.68101804379</v>
      </c>
      <c r="P43" s="16">
        <f t="shared" si="14"/>
        <v>15231.886939760487</v>
      </c>
      <c r="Q43" s="16">
        <f t="shared" si="15"/>
        <v>-16742.371692569006</v>
      </c>
      <c r="R43" s="62"/>
    </row>
    <row r="44" spans="1:18">
      <c r="A44" s="14">
        <v>17</v>
      </c>
      <c r="B44" s="15" t="s">
        <v>84</v>
      </c>
      <c r="C44" s="16">
        <v>185093</v>
      </c>
      <c r="D44" s="17">
        <f t="shared" si="8"/>
        <v>1.9100646464208667E-2</v>
      </c>
      <c r="E44" s="17"/>
      <c r="F44" s="17"/>
      <c r="G44" s="17"/>
      <c r="H44" s="16">
        <v>67933</v>
      </c>
      <c r="I44" s="16">
        <v>13125</v>
      </c>
      <c r="J44" s="16">
        <f t="shared" si="10"/>
        <v>54808</v>
      </c>
      <c r="K44" s="16">
        <f t="shared" si="9"/>
        <v>239901</v>
      </c>
      <c r="L44" s="16">
        <v>4919479</v>
      </c>
      <c r="M44" s="16">
        <f t="shared" si="11"/>
        <v>2667.9654491867941</v>
      </c>
      <c r="N44" s="16">
        <f t="shared" si="12"/>
        <v>11141.017168687986</v>
      </c>
      <c r="O44" s="16">
        <f t="shared" si="13"/>
        <v>48765.529845741796</v>
      </c>
      <c r="P44" s="16">
        <f t="shared" si="14"/>
        <v>27668.735767458493</v>
      </c>
      <c r="Q44" s="16">
        <f t="shared" si="15"/>
        <v>-9955.7769095953172</v>
      </c>
      <c r="R44" s="62"/>
    </row>
    <row r="45" spans="1:18">
      <c r="A45" s="14">
        <v>18</v>
      </c>
      <c r="B45" s="15" t="s">
        <v>88</v>
      </c>
      <c r="C45" s="16">
        <v>174851</v>
      </c>
      <c r="D45" s="17">
        <f t="shared" si="8"/>
        <v>1.8043724694685105E-2</v>
      </c>
      <c r="E45" s="17"/>
      <c r="F45" s="17"/>
      <c r="G45" s="17"/>
      <c r="H45" s="16">
        <v>35189</v>
      </c>
      <c r="I45" s="16">
        <v>3896</v>
      </c>
      <c r="J45" s="16">
        <f t="shared" si="10"/>
        <v>31293</v>
      </c>
      <c r="K45" s="16">
        <f t="shared" si="9"/>
        <v>206144</v>
      </c>
      <c r="L45" s="16">
        <v>5689283</v>
      </c>
      <c r="M45" s="16">
        <f t="shared" si="11"/>
        <v>684.79630913069366</v>
      </c>
      <c r="N45" s="16">
        <f t="shared" si="12"/>
        <v>5500.3416071937363</v>
      </c>
      <c r="O45" s="16">
        <f t="shared" si="13"/>
        <v>36233.739822750955</v>
      </c>
      <c r="P45" s="16">
        <f t="shared" si="14"/>
        <v>15136.945744467652</v>
      </c>
      <c r="Q45" s="16">
        <f t="shared" si="15"/>
        <v>-15596.452471089568</v>
      </c>
      <c r="R45" s="64"/>
    </row>
    <row r="46" spans="1:18">
      <c r="A46" s="14">
        <v>19</v>
      </c>
      <c r="B46" s="15" t="s">
        <v>90</v>
      </c>
      <c r="C46" s="16">
        <v>171862</v>
      </c>
      <c r="D46" s="17">
        <f t="shared" si="8"/>
        <v>1.7735275254233442E-2</v>
      </c>
      <c r="E46" s="17"/>
      <c r="F46" s="17"/>
      <c r="G46" s="17"/>
      <c r="H46" s="16">
        <v>15118</v>
      </c>
      <c r="I46" s="16">
        <v>4678</v>
      </c>
      <c r="J46" s="16">
        <f t="shared" si="10"/>
        <v>10440</v>
      </c>
      <c r="K46" s="16">
        <f t="shared" si="9"/>
        <v>182302</v>
      </c>
      <c r="L46" s="16">
        <v>4301261</v>
      </c>
      <c r="M46" s="16">
        <f t="shared" si="11"/>
        <v>1087.5880352296688</v>
      </c>
      <c r="N46" s="16">
        <f t="shared" si="12"/>
        <v>2427.1951876438097</v>
      </c>
      <c r="O46" s="16">
        <f t="shared" si="13"/>
        <v>42383.384779486762</v>
      </c>
      <c r="P46" s="16">
        <f t="shared" si="14"/>
        <v>21286.590701203459</v>
      </c>
      <c r="Q46" s="16">
        <f t="shared" si="15"/>
        <v>-18669.598890639492</v>
      </c>
      <c r="R46" s="62" t="s">
        <v>204</v>
      </c>
    </row>
    <row r="47" spans="1:18">
      <c r="A47" s="14">
        <v>20</v>
      </c>
      <c r="B47" s="15" t="s">
        <v>92</v>
      </c>
      <c r="C47" s="16">
        <v>158533</v>
      </c>
      <c r="D47" s="17">
        <f t="shared" si="8"/>
        <v>1.6359790947849961E-2</v>
      </c>
      <c r="E47" s="17"/>
      <c r="F47" s="17"/>
      <c r="G47" s="17"/>
      <c r="H47" s="16">
        <v>54209</v>
      </c>
      <c r="I47" s="16">
        <v>10893</v>
      </c>
      <c r="J47" s="16">
        <f t="shared" si="10"/>
        <v>43316</v>
      </c>
      <c r="K47" s="16">
        <f t="shared" si="9"/>
        <v>201849</v>
      </c>
      <c r="L47" s="16">
        <v>5130632</v>
      </c>
      <c r="M47" s="16">
        <f t="shared" si="11"/>
        <v>2123.1302498405653</v>
      </c>
      <c r="N47" s="16">
        <f t="shared" si="12"/>
        <v>8442.6246123284618</v>
      </c>
      <c r="O47" s="16">
        <f t="shared" si="13"/>
        <v>39341.936821818439</v>
      </c>
      <c r="P47" s="16">
        <f t="shared" si="14"/>
        <v>18245.142743535136</v>
      </c>
      <c r="Q47" s="16">
        <f t="shared" si="15"/>
        <v>-12654.169465954841</v>
      </c>
      <c r="R47" s="62" t="s">
        <v>204</v>
      </c>
    </row>
    <row r="48" spans="1:18">
      <c r="A48" s="14">
        <v>21</v>
      </c>
      <c r="B48" s="15" t="s">
        <v>93</v>
      </c>
      <c r="C48" s="16">
        <v>175737</v>
      </c>
      <c r="D48" s="17">
        <f t="shared" si="8"/>
        <v>1.8135155341804599E-2</v>
      </c>
      <c r="E48" s="17"/>
      <c r="F48" s="17"/>
      <c r="G48" s="17"/>
      <c r="H48" s="16">
        <v>97020</v>
      </c>
      <c r="I48" s="16">
        <v>17760</v>
      </c>
      <c r="J48" s="16">
        <f t="shared" si="10"/>
        <v>79260</v>
      </c>
      <c r="K48" s="16">
        <f t="shared" si="9"/>
        <v>254997</v>
      </c>
      <c r="L48" s="16">
        <v>5363675</v>
      </c>
      <c r="M48" s="16">
        <f t="shared" si="11"/>
        <v>3311.1625890830446</v>
      </c>
      <c r="N48" s="16">
        <f t="shared" si="12"/>
        <v>14777.181689792913</v>
      </c>
      <c r="O48" s="16">
        <f t="shared" si="13"/>
        <v>47541.471099572591</v>
      </c>
      <c r="P48" s="16">
        <f t="shared" si="14"/>
        <v>26444.677021289288</v>
      </c>
      <c r="Q48" s="16">
        <f t="shared" si="15"/>
        <v>-6319.61238849039</v>
      </c>
      <c r="R48" s="62" t="s">
        <v>204</v>
      </c>
    </row>
    <row r="49" spans="1:18">
      <c r="A49" s="14">
        <v>22</v>
      </c>
      <c r="B49" s="15" t="s">
        <v>95</v>
      </c>
      <c r="C49" s="16">
        <v>176708</v>
      </c>
      <c r="D49" s="17">
        <f t="shared" si="8"/>
        <v>1.8235357552135335E-2</v>
      </c>
      <c r="E49" s="98">
        <v>2002</v>
      </c>
      <c r="F49" s="16">
        <v>196597.6</v>
      </c>
      <c r="G49" s="17">
        <f>F49/D104</f>
        <v>1.7909141425643361E-2</v>
      </c>
      <c r="H49" s="16">
        <v>32366</v>
      </c>
      <c r="I49" s="16">
        <v>4288</v>
      </c>
      <c r="J49" s="16">
        <f>H49-I49</f>
        <v>28078</v>
      </c>
      <c r="K49" s="16">
        <f>F49+J49</f>
        <v>224675.6</v>
      </c>
      <c r="L49" s="16">
        <v>5675211</v>
      </c>
      <c r="M49" s="16">
        <f t="shared" si="11"/>
        <v>755.56662122342232</v>
      </c>
      <c r="N49" s="16">
        <f t="shared" si="12"/>
        <v>4947.4812478337808</v>
      </c>
      <c r="O49" s="16">
        <f t="shared" si="13"/>
        <v>39588.942155630866</v>
      </c>
      <c r="P49" s="16">
        <f t="shared" si="14"/>
        <v>18492.148077347563</v>
      </c>
      <c r="Q49" s="16">
        <f t="shared" si="15"/>
        <v>-16149.312830449522</v>
      </c>
      <c r="R49" s="62"/>
    </row>
    <row r="50" spans="1:18">
      <c r="A50" s="14">
        <v>23</v>
      </c>
      <c r="B50" s="15" t="s">
        <v>97</v>
      </c>
      <c r="C50" s="16">
        <v>160436</v>
      </c>
      <c r="D50" s="17">
        <f t="shared" si="8"/>
        <v>1.6556170768920391E-2</v>
      </c>
      <c r="E50" s="17"/>
      <c r="F50" s="17"/>
      <c r="G50" s="17"/>
      <c r="H50" s="16">
        <v>54154</v>
      </c>
      <c r="I50" s="16">
        <v>21064</v>
      </c>
      <c r="J50" s="16">
        <f>H50-I50</f>
        <v>33090</v>
      </c>
      <c r="K50" s="16">
        <f t="shared" si="9"/>
        <v>193526</v>
      </c>
      <c r="L50" s="16">
        <v>3405565</v>
      </c>
      <c r="M50" s="16">
        <f t="shared" si="11"/>
        <v>6185.1704489563408</v>
      </c>
      <c r="N50" s="16">
        <f t="shared" si="12"/>
        <v>9716.4493997324971</v>
      </c>
      <c r="O50" s="16">
        <f t="shared" si="13"/>
        <v>56826.400318302542</v>
      </c>
      <c r="P50" s="16">
        <f t="shared" si="14"/>
        <v>35729.606240019239</v>
      </c>
      <c r="Q50" s="16">
        <f t="shared" si="15"/>
        <v>-11380.344678550806</v>
      </c>
      <c r="R50" s="62" t="s">
        <v>204</v>
      </c>
    </row>
    <row r="51" spans="1:18">
      <c r="A51" s="14">
        <v>24</v>
      </c>
      <c r="B51" s="15" t="s">
        <v>100</v>
      </c>
      <c r="C51" s="16">
        <v>131520</v>
      </c>
      <c r="D51" s="17">
        <f t="shared" si="8"/>
        <v>1.3572188159318418E-2</v>
      </c>
      <c r="E51" s="17"/>
      <c r="F51" s="17"/>
      <c r="G51" s="17"/>
      <c r="H51" s="16">
        <v>38602</v>
      </c>
      <c r="I51" s="16">
        <v>10329</v>
      </c>
      <c r="J51" s="16">
        <f t="shared" si="10"/>
        <v>28273</v>
      </c>
      <c r="K51" s="16">
        <f>C51+J51</f>
        <v>159793</v>
      </c>
      <c r="L51" s="16">
        <v>4468976</v>
      </c>
      <c r="M51" s="16">
        <f t="shared" si="11"/>
        <v>2311.2677266559499</v>
      </c>
      <c r="N51" s="16">
        <f t="shared" si="12"/>
        <v>6326.5052217778748</v>
      </c>
      <c r="O51" s="16">
        <f t="shared" si="13"/>
        <v>35756.065819104871</v>
      </c>
      <c r="P51" s="16">
        <f t="shared" si="14"/>
        <v>14659.271740821569</v>
      </c>
      <c r="Q51" s="16">
        <f t="shared" si="15"/>
        <v>-14770.288856505427</v>
      </c>
      <c r="R51" s="62"/>
    </row>
    <row r="52" spans="1:18">
      <c r="A52" s="14">
        <v>25</v>
      </c>
      <c r="B52" s="15" t="s">
        <v>102</v>
      </c>
      <c r="C52" s="16">
        <v>112438</v>
      </c>
      <c r="D52" s="17">
        <f t="shared" si="8"/>
        <v>1.1603023815826067E-2</v>
      </c>
      <c r="E52" s="98">
        <v>2002</v>
      </c>
      <c r="F52" s="16">
        <v>121229.5</v>
      </c>
      <c r="G52" s="17">
        <f>F52/D104</f>
        <v>1.1043452516511044E-2</v>
      </c>
      <c r="H52" s="16">
        <v>22768</v>
      </c>
      <c r="I52" s="16">
        <v>8980</v>
      </c>
      <c r="J52" s="16">
        <f>H52-I52</f>
        <v>13788</v>
      </c>
      <c r="K52" s="16">
        <f>F52+J52</f>
        <v>135017.5</v>
      </c>
      <c r="L52" s="16">
        <v>3513399</v>
      </c>
      <c r="M52" s="16">
        <f t="shared" si="11"/>
        <v>2555.9294574854721</v>
      </c>
      <c r="N52" s="16">
        <f t="shared" si="12"/>
        <v>3924.4048284866021</v>
      </c>
      <c r="O52" s="16">
        <f t="shared" si="13"/>
        <v>38429.310192209879</v>
      </c>
      <c r="P52" s="16">
        <f t="shared" si="14"/>
        <v>17332.516113926577</v>
      </c>
      <c r="Q52" s="16">
        <f t="shared" si="15"/>
        <v>-17172.389249796703</v>
      </c>
      <c r="R52" s="62"/>
    </row>
    <row r="53" spans="1:18">
      <c r="A53" s="14">
        <v>26</v>
      </c>
      <c r="B53" s="15" t="s">
        <v>104</v>
      </c>
      <c r="C53" s="16">
        <v>112514</v>
      </c>
      <c r="D53" s="17">
        <f t="shared" si="8"/>
        <v>1.1610866625285527E-2</v>
      </c>
      <c r="E53" s="98">
        <v>2002</v>
      </c>
      <c r="F53" s="16">
        <v>124160.1</v>
      </c>
      <c r="G53" s="17"/>
      <c r="H53" s="16">
        <v>21810.151000000002</v>
      </c>
      <c r="I53" s="16">
        <v>9745.1450000000004</v>
      </c>
      <c r="J53" s="16">
        <f t="shared" si="10"/>
        <v>12065.006000000001</v>
      </c>
      <c r="K53" s="16">
        <f>F53+J53</f>
        <v>136225.106</v>
      </c>
      <c r="L53" s="16">
        <v>4107795</v>
      </c>
      <c r="M53" s="16">
        <f>I53*1000000/L53</f>
        <v>2372.3542679223283</v>
      </c>
      <c r="N53" s="16">
        <f t="shared" si="12"/>
        <v>2937.1003178104074</v>
      </c>
      <c r="O53" s="16">
        <f t="shared" si="13"/>
        <v>33162.586253695721</v>
      </c>
      <c r="P53" s="16">
        <f t="shared" si="14"/>
        <v>12065.792175412418</v>
      </c>
      <c r="Q53" s="16">
        <f t="shared" si="15"/>
        <v>-18159.693760472896</v>
      </c>
      <c r="R53" s="62"/>
    </row>
    <row r="54" spans="1:18">
      <c r="A54" s="14">
        <v>27</v>
      </c>
      <c r="B54" s="15" t="s">
        <v>105</v>
      </c>
      <c r="C54" s="16">
        <v>114576</v>
      </c>
      <c r="D54" s="17">
        <f t="shared" si="8"/>
        <v>1.1823654429304038E-2</v>
      </c>
      <c r="E54" s="17"/>
      <c r="F54" s="17"/>
      <c r="G54" s="17"/>
      <c r="H54" s="16">
        <v>8547.4249999999993</v>
      </c>
      <c r="I54" s="16">
        <v>2604.4589999999998</v>
      </c>
      <c r="J54" s="16">
        <f t="shared" si="10"/>
        <v>5942.9659999999994</v>
      </c>
      <c r="K54" s="16">
        <f t="shared" si="9"/>
        <v>120518.966</v>
      </c>
      <c r="L54" s="16">
        <v>4447100</v>
      </c>
      <c r="M54" s="16">
        <f t="shared" si="11"/>
        <v>585.65334712509275</v>
      </c>
      <c r="N54" s="16">
        <f t="shared" si="12"/>
        <v>1336.3688696004135</v>
      </c>
      <c r="O54" s="16">
        <f t="shared" si="13"/>
        <v>27100.574756582941</v>
      </c>
      <c r="P54" s="16">
        <f t="shared" si="14"/>
        <v>6003.7806782996377</v>
      </c>
      <c r="Q54" s="16">
        <f t="shared" si="15"/>
        <v>-19760.425208682889</v>
      </c>
      <c r="R54" s="65"/>
    </row>
    <row r="55" spans="1:18">
      <c r="A55" s="14">
        <v>28</v>
      </c>
      <c r="B55" s="15" t="s">
        <v>107</v>
      </c>
      <c r="C55" s="16">
        <v>111900</v>
      </c>
      <c r="D55" s="17">
        <f t="shared" si="8"/>
        <v>1.1547504980441993E-2</v>
      </c>
      <c r="E55" s="98">
        <v>2002</v>
      </c>
      <c r="F55" s="16">
        <v>122193.1</v>
      </c>
      <c r="G55" s="17">
        <f>F55/D104</f>
        <v>1.1131232065588704E-2</v>
      </c>
      <c r="H55" s="16">
        <v>7183.3429999999998</v>
      </c>
      <c r="I55" s="16">
        <v>6999.5330000000004</v>
      </c>
      <c r="J55" s="16">
        <f t="shared" si="10"/>
        <v>183.80999999999949</v>
      </c>
      <c r="K55" s="16">
        <f>F55+J55</f>
        <v>122376.91</v>
      </c>
      <c r="L55" s="16">
        <v>4089875</v>
      </c>
      <c r="M55" s="16">
        <f t="shared" si="11"/>
        <v>1711.4295669183043</v>
      </c>
      <c r="N55" s="16">
        <f t="shared" si="12"/>
        <v>44.942693847611359</v>
      </c>
      <c r="O55" s="16">
        <f t="shared" si="13"/>
        <v>29921.919374064</v>
      </c>
      <c r="P55" s="16">
        <f t="shared" si="14"/>
        <v>8825.1252957806973</v>
      </c>
      <c r="Q55" s="16">
        <f t="shared" si="15"/>
        <v>-21051.851384435693</v>
      </c>
      <c r="R55" s="62"/>
    </row>
    <row r="56" spans="1:18">
      <c r="A56" s="14">
        <v>29</v>
      </c>
      <c r="B56" s="15" t="s">
        <v>110</v>
      </c>
      <c r="C56" s="16">
        <v>89757</v>
      </c>
      <c r="D56" s="17">
        <f t="shared" si="8"/>
        <v>9.2624611664837535E-3</v>
      </c>
      <c r="E56" s="17"/>
      <c r="F56" s="17"/>
      <c r="G56" s="17"/>
      <c r="H56" s="16">
        <v>8078.6030000000001</v>
      </c>
      <c r="I56" s="16">
        <v>2910.3870000000002</v>
      </c>
      <c r="J56" s="16">
        <f t="shared" si="10"/>
        <v>5168.2160000000003</v>
      </c>
      <c r="K56" s="16">
        <f t="shared" si="9"/>
        <v>94925.216</v>
      </c>
      <c r="L56" s="16">
        <v>3450654</v>
      </c>
      <c r="M56" s="16">
        <f t="shared" si="11"/>
        <v>843.43054968710283</v>
      </c>
      <c r="N56" s="16">
        <f t="shared" si="12"/>
        <v>1497.7497019405596</v>
      </c>
      <c r="O56" s="16">
        <f t="shared" si="13"/>
        <v>27509.340548197531</v>
      </c>
      <c r="P56" s="16">
        <f t="shared" si="14"/>
        <v>6412.5464699142285</v>
      </c>
      <c r="Q56" s="16">
        <f t="shared" si="15"/>
        <v>-19599.044376342743</v>
      </c>
      <c r="R56" s="65"/>
    </row>
    <row r="57" spans="1:18">
      <c r="A57" s="14">
        <v>30</v>
      </c>
      <c r="B57" s="15" t="s">
        <v>112</v>
      </c>
      <c r="C57" s="16">
        <v>90186</v>
      </c>
      <c r="D57" s="17">
        <f t="shared" si="8"/>
        <v>9.3067317619851802E-3</v>
      </c>
      <c r="E57" s="17"/>
      <c r="F57" s="17"/>
      <c r="G57" s="17"/>
      <c r="H57" s="16">
        <v>29436.988000000001</v>
      </c>
      <c r="I57" s="16">
        <v>4092.5770000000002</v>
      </c>
      <c r="J57" s="16">
        <f t="shared" si="10"/>
        <v>25344.411</v>
      </c>
      <c r="K57" s="16">
        <f t="shared" si="9"/>
        <v>115530.41099999999</v>
      </c>
      <c r="L57" s="16">
        <v>2926324</v>
      </c>
      <c r="M57" s="16">
        <f t="shared" si="11"/>
        <v>1398.5385760428442</v>
      </c>
      <c r="N57" s="16">
        <f t="shared" si="12"/>
        <v>8660.8355739145773</v>
      </c>
      <c r="O57" s="16">
        <f t="shared" si="13"/>
        <v>39479.705938235136</v>
      </c>
      <c r="P57" s="16">
        <f t="shared" si="14"/>
        <v>18382.911859951833</v>
      </c>
      <c r="Q57" s="16">
        <f t="shared" si="15"/>
        <v>-12435.958504368726</v>
      </c>
      <c r="R57" s="65"/>
    </row>
    <row r="58" spans="1:18">
      <c r="A58" s="14">
        <v>31</v>
      </c>
      <c r="B58" s="15" t="s">
        <v>115</v>
      </c>
      <c r="C58" s="16">
        <v>67568</v>
      </c>
      <c r="D58" s="17">
        <f t="shared" si="8"/>
        <v>6.9726703889053145E-3</v>
      </c>
      <c r="E58" s="98">
        <v>2002</v>
      </c>
      <c r="F58" s="16">
        <v>75998.8</v>
      </c>
      <c r="G58" s="17">
        <f>F58/D104</f>
        <v>6.9231427920746985E-3</v>
      </c>
      <c r="H58" s="16">
        <v>14736.271000000001</v>
      </c>
      <c r="I58" s="16">
        <v>4304.2330000000002</v>
      </c>
      <c r="J58" s="16">
        <f t="shared" si="10"/>
        <v>10432.038</v>
      </c>
      <c r="K58" s="16">
        <f>F58+J58</f>
        <v>86430.838000000003</v>
      </c>
      <c r="L58" s="16">
        <v>2324815</v>
      </c>
      <c r="M58" s="16">
        <f t="shared" si="11"/>
        <v>1851.4303288648773</v>
      </c>
      <c r="N58" s="16">
        <f t="shared" si="12"/>
        <v>4487.2551149231231</v>
      </c>
      <c r="O58" s="16">
        <f t="shared" si="13"/>
        <v>37177.512189141933</v>
      </c>
      <c r="P58" s="16">
        <f t="shared" si="14"/>
        <v>16080.71811085863</v>
      </c>
      <c r="Q58" s="16">
        <f t="shared" si="15"/>
        <v>-16609.538963360181</v>
      </c>
      <c r="R58" s="62"/>
    </row>
    <row r="59" spans="1:18">
      <c r="A59" s="14">
        <v>32</v>
      </c>
      <c r="B59" s="15" t="s">
        <v>119</v>
      </c>
      <c r="C59" s="16">
        <v>82812</v>
      </c>
      <c r="D59" s="17">
        <f t="shared" si="8"/>
        <v>8.5457728546949278E-3</v>
      </c>
      <c r="E59" s="17"/>
      <c r="F59" s="17"/>
      <c r="G59" s="17"/>
      <c r="H59" s="16">
        <v>16683.048999999999</v>
      </c>
      <c r="I59" s="16">
        <v>2883.2640000000001</v>
      </c>
      <c r="J59" s="16">
        <f t="shared" si="10"/>
        <v>13799.785</v>
      </c>
      <c r="K59" s="16">
        <f t="shared" si="9"/>
        <v>96611.785000000003</v>
      </c>
      <c r="L59" s="16">
        <v>2688418</v>
      </c>
      <c r="M59" s="16">
        <f t="shared" si="11"/>
        <v>1072.4760807285177</v>
      </c>
      <c r="N59" s="16">
        <f t="shared" si="12"/>
        <v>5133.0503664236739</v>
      </c>
      <c r="O59" s="16">
        <f t="shared" si="13"/>
        <v>35936.295992661857</v>
      </c>
      <c r="P59" s="16">
        <f t="shared" si="14"/>
        <v>14839.501914378554</v>
      </c>
      <c r="Q59" s="16">
        <f t="shared" si="15"/>
        <v>-15963.743711859628</v>
      </c>
      <c r="R59" s="65"/>
    </row>
    <row r="60" spans="1:18">
      <c r="A60" s="14">
        <v>33</v>
      </c>
      <c r="B60" s="15" t="s">
        <v>120</v>
      </c>
      <c r="C60" s="16">
        <v>73719</v>
      </c>
      <c r="D60" s="17">
        <f t="shared" si="8"/>
        <v>7.6074219808150434E-3</v>
      </c>
      <c r="E60" s="17"/>
      <c r="F60" s="17"/>
      <c r="G60" s="17"/>
      <c r="H60" s="16">
        <v>26677.23</v>
      </c>
      <c r="I60" s="16">
        <v>8799.2099999999991</v>
      </c>
      <c r="J60" s="16">
        <f t="shared" si="10"/>
        <v>17878.02</v>
      </c>
      <c r="K60" s="16">
        <f t="shared" si="9"/>
        <v>91597.02</v>
      </c>
      <c r="L60" s="16">
        <v>1998257</v>
      </c>
      <c r="M60" s="16">
        <f t="shared" si="11"/>
        <v>4403.4426002260971</v>
      </c>
      <c r="N60" s="16">
        <f t="shared" si="12"/>
        <v>8946.8071424246227</v>
      </c>
      <c r="O60" s="16">
        <f t="shared" si="13"/>
        <v>45838.458216335537</v>
      </c>
      <c r="P60" s="16">
        <f t="shared" si="14"/>
        <v>24741.664138052234</v>
      </c>
      <c r="Q60" s="16">
        <f t="shared" si="15"/>
        <v>-12149.98693585868</v>
      </c>
      <c r="R60" s="65"/>
    </row>
    <row r="61" spans="1:18">
      <c r="A61" s="14">
        <v>34</v>
      </c>
      <c r="B61" s="15" t="s">
        <v>124</v>
      </c>
      <c r="C61" s="16">
        <v>66801</v>
      </c>
      <c r="D61" s="17">
        <f t="shared" si="8"/>
        <v>6.8935199302815513E-3</v>
      </c>
      <c r="E61" s="17"/>
      <c r="F61" s="17"/>
      <c r="G61" s="17"/>
      <c r="H61" s="16">
        <v>24464.726999999999</v>
      </c>
      <c r="I61" s="16">
        <v>4766.1469999999999</v>
      </c>
      <c r="J61" s="16">
        <f t="shared" si="10"/>
        <v>19698.579999999998</v>
      </c>
      <c r="K61" s="16">
        <f t="shared" si="9"/>
        <v>86499.58</v>
      </c>
      <c r="L61" s="16">
        <v>2673400</v>
      </c>
      <c r="M61" s="16">
        <f t="shared" si="11"/>
        <v>1782.8035460462334</v>
      </c>
      <c r="N61" s="16">
        <f t="shared" si="12"/>
        <v>7368.3623849779306</v>
      </c>
      <c r="O61" s="16">
        <f t="shared" si="13"/>
        <v>32355.64449764345</v>
      </c>
      <c r="P61" s="16">
        <f t="shared" si="14"/>
        <v>11258.850419360147</v>
      </c>
      <c r="Q61" s="16">
        <f t="shared" si="15"/>
        <v>-13728.431693305372</v>
      </c>
      <c r="R61" s="65"/>
    </row>
    <row r="62" spans="1:18">
      <c r="A62" s="14">
        <v>35</v>
      </c>
      <c r="B62" s="15" t="s">
        <v>127</v>
      </c>
      <c r="C62" s="16">
        <v>55478</v>
      </c>
      <c r="D62" s="17">
        <f t="shared" si="8"/>
        <v>5.7250445156832967E-3</v>
      </c>
      <c r="E62" s="98">
        <v>2002</v>
      </c>
      <c r="F62" s="16">
        <v>61604.4</v>
      </c>
      <c r="G62" s="17">
        <f>F62/D104</f>
        <v>5.6118788430881347E-3</v>
      </c>
      <c r="H62" s="16">
        <v>9658.3829999999998</v>
      </c>
      <c r="I62" s="16">
        <v>1308.914</v>
      </c>
      <c r="J62" s="16">
        <f t="shared" si="10"/>
        <v>8349.4689999999991</v>
      </c>
      <c r="K62" s="16">
        <f>F62+J62</f>
        <v>69953.869000000006</v>
      </c>
      <c r="L62" s="16">
        <v>1728292</v>
      </c>
      <c r="M62" s="16">
        <f t="shared" si="11"/>
        <v>757.3454022815589</v>
      </c>
      <c r="N62" s="16">
        <f t="shared" si="12"/>
        <v>4831.0522758885645</v>
      </c>
      <c r="O62" s="16">
        <f t="shared" si="13"/>
        <v>40475.723430994301</v>
      </c>
      <c r="P62" s="16">
        <f t="shared" si="14"/>
        <v>19378.929352710999</v>
      </c>
      <c r="Q62" s="16">
        <f t="shared" si="15"/>
        <v>-16265.741802394739</v>
      </c>
      <c r="R62" s="62"/>
    </row>
    <row r="63" spans="1:18">
      <c r="A63" s="14">
        <v>36</v>
      </c>
      <c r="B63" s="15" t="s">
        <v>132</v>
      </c>
      <c r="C63" s="16">
        <v>64266</v>
      </c>
      <c r="D63" s="17">
        <f t="shared" si="8"/>
        <v>6.6319209568640319E-3</v>
      </c>
      <c r="E63" s="17"/>
      <c r="F63" s="17"/>
      <c r="G63" s="17"/>
      <c r="H63" s="16">
        <v>29561.839</v>
      </c>
      <c r="I63" s="16">
        <v>6139.4530000000004</v>
      </c>
      <c r="J63" s="16">
        <f t="shared" si="10"/>
        <v>23422.385999999999</v>
      </c>
      <c r="K63" s="16">
        <f t="shared" si="9"/>
        <v>87688.385999999999</v>
      </c>
      <c r="L63" s="16">
        <v>2844658</v>
      </c>
      <c r="M63" s="16">
        <f t="shared" si="11"/>
        <v>2158.2394087443904</v>
      </c>
      <c r="N63" s="16">
        <f t="shared" si="12"/>
        <v>8233.8143987783424</v>
      </c>
      <c r="O63" s="16">
        <f t="shared" si="13"/>
        <v>30825.633872331928</v>
      </c>
      <c r="P63" s="16">
        <f t="shared" si="14"/>
        <v>9728.8397940486248</v>
      </c>
      <c r="Q63" s="16">
        <f t="shared" si="15"/>
        <v>-12862.979679504961</v>
      </c>
      <c r="R63" s="65"/>
    </row>
    <row r="64" spans="1:18">
      <c r="A64" s="14">
        <v>37</v>
      </c>
      <c r="B64" s="15" t="s">
        <v>133</v>
      </c>
      <c r="C64" s="16">
        <v>50725</v>
      </c>
      <c r="D64" s="17">
        <f t="shared" si="8"/>
        <v>5.234559339883111E-3</v>
      </c>
      <c r="E64" s="17"/>
      <c r="F64" s="17"/>
      <c r="G64" s="17"/>
      <c r="H64" s="16">
        <v>44388.883000000002</v>
      </c>
      <c r="I64" s="16">
        <v>7406.9059999999999</v>
      </c>
      <c r="J64" s="16">
        <f t="shared" si="10"/>
        <v>36981.976999999999</v>
      </c>
      <c r="K64" s="16">
        <f t="shared" si="9"/>
        <v>87706.976999999999</v>
      </c>
      <c r="L64" s="16">
        <v>1819046</v>
      </c>
      <c r="M64" s="16">
        <f t="shared" si="11"/>
        <v>4071.8629435429339</v>
      </c>
      <c r="N64" s="16">
        <f t="shared" si="12"/>
        <v>20330.424299330527</v>
      </c>
      <c r="O64" s="16">
        <f t="shared" si="13"/>
        <v>48215.920323070444</v>
      </c>
      <c r="P64" s="16">
        <f t="shared" si="14"/>
        <v>27119.126244787141</v>
      </c>
      <c r="Q64" s="16">
        <f t="shared" si="15"/>
        <v>-766.36977895277596</v>
      </c>
      <c r="R64" s="65"/>
    </row>
    <row r="65" spans="1:18">
      <c r="A65" s="14">
        <v>38</v>
      </c>
      <c r="B65" s="15" t="s">
        <v>149</v>
      </c>
      <c r="C65" s="16">
        <v>40202</v>
      </c>
      <c r="D65" s="17">
        <f t="shared" si="8"/>
        <v>4.148639814331806E-3</v>
      </c>
      <c r="E65" s="17"/>
      <c r="F65" s="17"/>
      <c r="G65" s="17"/>
      <c r="H65" s="16">
        <v>15342.518</v>
      </c>
      <c r="I65" s="16">
        <v>6019.567</v>
      </c>
      <c r="J65" s="16">
        <f t="shared" si="10"/>
        <v>9322.9510000000009</v>
      </c>
      <c r="K65" s="16">
        <f t="shared" si="9"/>
        <v>49524.951000000001</v>
      </c>
      <c r="L65" s="16">
        <v>1211537</v>
      </c>
      <c r="M65" s="16">
        <f t="shared" si="11"/>
        <v>4968.5374858547448</v>
      </c>
      <c r="N65" s="16">
        <f t="shared" si="12"/>
        <v>7695.1434417603423</v>
      </c>
      <c r="O65" s="16">
        <f t="shared" si="13"/>
        <v>40877.78664621881</v>
      </c>
      <c r="P65" s="16">
        <f t="shared" si="14"/>
        <v>19780.992567935507</v>
      </c>
      <c r="Q65" s="16">
        <f t="shared" si="15"/>
        <v>-13401.650636522962</v>
      </c>
      <c r="R65" s="65"/>
    </row>
    <row r="66" spans="1:18">
      <c r="A66" s="14">
        <v>39</v>
      </c>
      <c r="B66" s="15" t="s">
        <v>150</v>
      </c>
      <c r="C66" s="16">
        <v>43518</v>
      </c>
      <c r="D66" s="17">
        <f t="shared" si="8"/>
        <v>4.4908339744314093E-3</v>
      </c>
      <c r="E66" s="17"/>
      <c r="F66" s="17"/>
      <c r="G66" s="17"/>
      <c r="H66" s="16">
        <v>3723.3620000000001</v>
      </c>
      <c r="I66" s="16">
        <v>1697.192</v>
      </c>
      <c r="J66" s="16">
        <f t="shared" si="10"/>
        <v>2026.17</v>
      </c>
      <c r="K66" s="16">
        <f t="shared" si="9"/>
        <v>45544.17</v>
      </c>
      <c r="L66" s="16">
        <v>1235786</v>
      </c>
      <c r="M66" s="16">
        <f t="shared" si="11"/>
        <v>1373.3704702917819</v>
      </c>
      <c r="N66" s="16">
        <f t="shared" si="12"/>
        <v>1639.5799920050883</v>
      </c>
      <c r="O66" s="16">
        <f t="shared" si="13"/>
        <v>36854.414922972101</v>
      </c>
      <c r="P66" s="16">
        <f t="shared" si="14"/>
        <v>15757.620844688798</v>
      </c>
      <c r="Q66" s="16">
        <f t="shared" si="15"/>
        <v>-19457.214086278214</v>
      </c>
      <c r="R66" s="65"/>
    </row>
    <row r="67" spans="1:18">
      <c r="A67" s="14">
        <v>40</v>
      </c>
      <c r="B67" s="15" t="s">
        <v>151</v>
      </c>
      <c r="C67" s="16">
        <v>41476</v>
      </c>
      <c r="D67" s="17">
        <f t="shared" si="8"/>
        <v>4.2801100676390716E-3</v>
      </c>
      <c r="E67" s="98">
        <v>2002</v>
      </c>
      <c r="F67" s="16">
        <v>45433.7</v>
      </c>
      <c r="G67" s="17">
        <f>F67/D104</f>
        <v>4.1388020951947163E-3</v>
      </c>
      <c r="H67" s="16">
        <v>11062.356</v>
      </c>
      <c r="I67" s="16">
        <v>7477.6840000000002</v>
      </c>
      <c r="J67" s="16">
        <f t="shared" si="10"/>
        <v>3584.6719999999996</v>
      </c>
      <c r="K67" s="16">
        <f>F67+J67</f>
        <v>49018.371999999996</v>
      </c>
      <c r="L67" s="16">
        <v>1895414</v>
      </c>
      <c r="M67" s="16">
        <f t="shared" si="11"/>
        <v>3945.1454932800962</v>
      </c>
      <c r="N67" s="16">
        <f t="shared" si="12"/>
        <v>1891.2343160913656</v>
      </c>
      <c r="O67" s="16">
        <f t="shared" si="13"/>
        <v>25861.564808532592</v>
      </c>
      <c r="P67" s="16">
        <f t="shared" si="14"/>
        <v>4764.770730249289</v>
      </c>
      <c r="Q67" s="16">
        <f t="shared" si="15"/>
        <v>-19205.559762191937</v>
      </c>
      <c r="R67" s="62"/>
    </row>
    <row r="68" spans="1:18">
      <c r="A68" s="14">
        <v>41</v>
      </c>
      <c r="B68" s="15" t="s">
        <v>152</v>
      </c>
      <c r="C68" s="16">
        <v>41472</v>
      </c>
      <c r="D68" s="17">
        <f t="shared" si="8"/>
        <v>4.2796972881938367E-3</v>
      </c>
      <c r="E68" s="98">
        <v>2002</v>
      </c>
      <c r="F68" s="16">
        <v>45757.9</v>
      </c>
      <c r="G68" s="17">
        <f>F68/D104</f>
        <v>4.1683352311546349E-3</v>
      </c>
      <c r="H68" s="16">
        <v>6778.4889999999996</v>
      </c>
      <c r="I68" s="16">
        <v>2176.951</v>
      </c>
      <c r="J68" s="16">
        <f t="shared" si="10"/>
        <v>4601.5379999999996</v>
      </c>
      <c r="K68" s="16">
        <f>F68+J68</f>
        <v>50359.438000000002</v>
      </c>
      <c r="L68" s="16">
        <v>806169</v>
      </c>
      <c r="M68" s="16">
        <f t="shared" si="11"/>
        <v>2700.3655561054816</v>
      </c>
      <c r="N68" s="16">
        <f t="shared" si="12"/>
        <v>5707.9073990689294</v>
      </c>
      <c r="O68" s="16">
        <f t="shared" si="13"/>
        <v>62467.594263733779</v>
      </c>
      <c r="P68" s="16">
        <f t="shared" si="14"/>
        <v>41370.800185450476</v>
      </c>
      <c r="Q68" s="16">
        <f t="shared" si="15"/>
        <v>-15388.886679214374</v>
      </c>
      <c r="R68" s="62"/>
    </row>
    <row r="69" spans="1:18">
      <c r="A69" s="14">
        <v>42</v>
      </c>
      <c r="B69" s="15" t="s">
        <v>153</v>
      </c>
      <c r="C69" s="16">
        <v>34989</v>
      </c>
      <c r="D69" s="17">
        <f t="shared" si="8"/>
        <v>3.6106850023296241E-3</v>
      </c>
      <c r="E69" s="17"/>
      <c r="F69" s="17"/>
      <c r="G69" s="17"/>
      <c r="H69" s="16">
        <v>14820.094999999999</v>
      </c>
      <c r="I69" s="16">
        <v>2852.8240000000001</v>
      </c>
      <c r="J69" s="16">
        <f t="shared" si="10"/>
        <v>11967.270999999999</v>
      </c>
      <c r="K69" s="16">
        <f t="shared" si="9"/>
        <v>46956.271000000001</v>
      </c>
      <c r="L69" s="16">
        <v>1293953</v>
      </c>
      <c r="M69" s="16">
        <f t="shared" si="11"/>
        <v>2204.7354115644075</v>
      </c>
      <c r="N69" s="16">
        <f t="shared" si="12"/>
        <v>9248.6133576721859</v>
      </c>
      <c r="O69" s="16">
        <f t="shared" si="13"/>
        <v>36289.008178813296</v>
      </c>
      <c r="P69" s="16">
        <f t="shared" si="14"/>
        <v>15192.214100529993</v>
      </c>
      <c r="Q69" s="16">
        <f t="shared" si="15"/>
        <v>-11848.180720611117</v>
      </c>
      <c r="R69" s="65"/>
    </row>
    <row r="70" spans="1:18">
      <c r="A70" s="14">
        <v>43</v>
      </c>
      <c r="B70" s="15" t="s">
        <v>154</v>
      </c>
      <c r="C70" s="16">
        <v>35542</v>
      </c>
      <c r="D70" s="17">
        <f t="shared" si="8"/>
        <v>3.6677517606333275E-3</v>
      </c>
      <c r="E70" s="17"/>
      <c r="F70" s="17"/>
      <c r="G70" s="17"/>
      <c r="H70" s="16">
        <v>3433.1729999999998</v>
      </c>
      <c r="I70" s="16">
        <v>1743.5530000000001</v>
      </c>
      <c r="J70" s="16">
        <f t="shared" si="10"/>
        <v>1689.6199999999997</v>
      </c>
      <c r="K70" s="16">
        <f t="shared" si="9"/>
        <v>37231.620000000003</v>
      </c>
      <c r="L70" s="16">
        <v>1274923</v>
      </c>
      <c r="M70" s="16">
        <f t="shared" si="11"/>
        <v>1367.5751398319742</v>
      </c>
      <c r="N70" s="16">
        <f t="shared" si="12"/>
        <v>1325.2721929089048</v>
      </c>
      <c r="O70" s="16">
        <f t="shared" si="13"/>
        <v>29203.034222458926</v>
      </c>
      <c r="P70" s="16">
        <f t="shared" si="14"/>
        <v>8106.2401441756228</v>
      </c>
      <c r="Q70" s="16">
        <f t="shared" si="15"/>
        <v>-19771.521885374397</v>
      </c>
      <c r="R70" s="65"/>
    </row>
    <row r="71" spans="1:18">
      <c r="A71" s="14">
        <v>44</v>
      </c>
      <c r="B71" s="15" t="s">
        <v>155</v>
      </c>
      <c r="C71" s="16">
        <v>33609</v>
      </c>
      <c r="D71" s="17">
        <f t="shared" si="8"/>
        <v>3.4682760937236371E-3</v>
      </c>
      <c r="E71" s="17"/>
      <c r="F71" s="17"/>
      <c r="G71" s="17"/>
      <c r="H71" s="16">
        <v>9868.2870000000003</v>
      </c>
      <c r="I71" s="16">
        <v>2034.7090000000001</v>
      </c>
      <c r="J71" s="16">
        <f t="shared" si="10"/>
        <v>7833.5780000000004</v>
      </c>
      <c r="K71" s="16">
        <f t="shared" si="9"/>
        <v>41442.578000000001</v>
      </c>
      <c r="L71" s="16">
        <v>1048319</v>
      </c>
      <c r="M71" s="16">
        <f t="shared" si="11"/>
        <v>1940.9254244175675</v>
      </c>
      <c r="N71" s="16">
        <f t="shared" si="12"/>
        <v>7472.5136146535551</v>
      </c>
      <c r="O71" s="16">
        <f t="shared" si="13"/>
        <v>39532.411412938236</v>
      </c>
      <c r="P71" s="16">
        <f t="shared" si="14"/>
        <v>18435.617334654933</v>
      </c>
      <c r="Q71" s="16">
        <f t="shared" si="15"/>
        <v>-13624.280463629748</v>
      </c>
      <c r="R71" s="65"/>
    </row>
    <row r="72" spans="1:18">
      <c r="A72" s="14">
        <v>45</v>
      </c>
      <c r="B72" s="15" t="s">
        <v>156</v>
      </c>
      <c r="C72" s="16">
        <v>17752</v>
      </c>
      <c r="D72" s="17">
        <f t="shared" si="8"/>
        <v>1.8319151779517986E-3</v>
      </c>
      <c r="E72" s="98">
        <v>2002</v>
      </c>
      <c r="F72" s="16">
        <v>20209</v>
      </c>
      <c r="G72" s="17">
        <f>F72/D104</f>
        <v>1.8409473923935323E-3</v>
      </c>
      <c r="H72" s="16">
        <v>7148.5324049999999</v>
      </c>
      <c r="I72" s="16">
        <v>3470.8481400000001</v>
      </c>
      <c r="J72" s="16">
        <f t="shared" si="10"/>
        <v>3677.6842649999999</v>
      </c>
      <c r="K72" s="16">
        <f>F72+J72</f>
        <v>23886.684265</v>
      </c>
      <c r="L72" s="16">
        <v>638168</v>
      </c>
      <c r="M72" s="16">
        <f t="shared" si="11"/>
        <v>5438.7686941369675</v>
      </c>
      <c r="N72" s="16">
        <f t="shared" si="12"/>
        <v>5762.8779020571383</v>
      </c>
      <c r="O72" s="16">
        <f t="shared" si="13"/>
        <v>37430.087790362413</v>
      </c>
      <c r="P72" s="16">
        <f t="shared" si="14"/>
        <v>16333.29371207911</v>
      </c>
      <c r="Q72" s="16">
        <f t="shared" si="15"/>
        <v>-15333.916176226165</v>
      </c>
      <c r="R72" s="62"/>
    </row>
    <row r="73" spans="1:18">
      <c r="A73" s="14">
        <v>46</v>
      </c>
      <c r="B73" s="15" t="s">
        <v>157</v>
      </c>
      <c r="C73" s="16">
        <v>27034</v>
      </c>
      <c r="D73" s="17">
        <f t="shared" si="8"/>
        <v>2.7897698806190249E-3</v>
      </c>
      <c r="E73" s="17"/>
      <c r="F73" s="17"/>
      <c r="G73" s="17"/>
      <c r="H73" s="16">
        <v>58341.968999999997</v>
      </c>
      <c r="I73" s="16">
        <v>7292.732</v>
      </c>
      <c r="J73" s="16">
        <f t="shared" si="10"/>
        <v>51049.236999999994</v>
      </c>
      <c r="K73" s="16">
        <f t="shared" si="9"/>
        <v>78083.236999999994</v>
      </c>
      <c r="L73" s="16">
        <v>626932</v>
      </c>
      <c r="M73" s="16">
        <f t="shared" si="11"/>
        <v>11632.41308467266</v>
      </c>
      <c r="N73" s="16">
        <f t="shared" si="12"/>
        <v>81427.071835541967</v>
      </c>
      <c r="O73" s="16">
        <f t="shared" si="13"/>
        <v>124548.17587872369</v>
      </c>
      <c r="P73" s="16">
        <f t="shared" si="14"/>
        <v>103451.38180044039</v>
      </c>
      <c r="Q73" s="16">
        <f t="shared" si="15"/>
        <v>60330.277757258664</v>
      </c>
      <c r="R73" s="62"/>
    </row>
    <row r="74" spans="1:18">
      <c r="A74" s="14">
        <v>47</v>
      </c>
      <c r="B74" s="15" t="s">
        <v>158</v>
      </c>
      <c r="C74" s="16">
        <v>23099</v>
      </c>
      <c r="D74" s="17">
        <f t="shared" si="8"/>
        <v>2.3836981013693444E-3</v>
      </c>
      <c r="E74" s="17"/>
      <c r="F74" s="17"/>
      <c r="G74" s="17"/>
      <c r="H74" s="16">
        <v>8284.4740000000002</v>
      </c>
      <c r="I74" s="16">
        <v>1650.3009999999999</v>
      </c>
      <c r="J74" s="16">
        <f t="shared" si="10"/>
        <v>6634.1730000000007</v>
      </c>
      <c r="K74" s="16">
        <f t="shared" si="9"/>
        <v>29733.173000000003</v>
      </c>
      <c r="L74" s="16">
        <v>754844</v>
      </c>
      <c r="M74" s="16">
        <f t="shared" si="11"/>
        <v>2186.2808739289176</v>
      </c>
      <c r="N74" s="16">
        <f t="shared" si="12"/>
        <v>8788.8000699482291</v>
      </c>
      <c r="O74" s="16">
        <f t="shared" si="13"/>
        <v>39389.824917466394</v>
      </c>
      <c r="P74" s="16">
        <f t="shared" si="14"/>
        <v>18293.030839183091</v>
      </c>
      <c r="Q74" s="16">
        <f t="shared" si="15"/>
        <v>-12307.994008335074</v>
      </c>
      <c r="R74" s="65"/>
    </row>
    <row r="75" spans="1:18">
      <c r="A75" s="14">
        <v>48</v>
      </c>
      <c r="B75" s="15" t="s">
        <v>159</v>
      </c>
      <c r="C75" s="16">
        <v>21366</v>
      </c>
      <c r="D75" s="17">
        <f t="shared" si="8"/>
        <v>2.2048614067213907E-3</v>
      </c>
      <c r="E75" s="17"/>
      <c r="F75" s="17"/>
      <c r="G75" s="17"/>
      <c r="H75" s="16">
        <v>4903.5680000000002</v>
      </c>
      <c r="I75" s="16">
        <v>1507.934</v>
      </c>
      <c r="J75" s="16">
        <f t="shared" si="10"/>
        <v>3395.634</v>
      </c>
      <c r="K75" s="16">
        <f t="shared" si="9"/>
        <v>24761.633999999998</v>
      </c>
      <c r="L75" s="16">
        <v>902195</v>
      </c>
      <c r="M75" s="16">
        <f t="shared" si="11"/>
        <v>1671.4058490681061</v>
      </c>
      <c r="N75" s="16">
        <f t="shared" si="12"/>
        <v>3763.7473051834691</v>
      </c>
      <c r="O75" s="16">
        <f t="shared" si="13"/>
        <v>27445.98894917396</v>
      </c>
      <c r="P75" s="16">
        <f t="shared" si="14"/>
        <v>6349.1948708906566</v>
      </c>
      <c r="Q75" s="16">
        <f t="shared" si="15"/>
        <v>-17333.046773099835</v>
      </c>
      <c r="R75" s="65"/>
    </row>
    <row r="76" spans="1:18">
      <c r="A76" s="14">
        <v>49</v>
      </c>
      <c r="B76" s="15" t="s">
        <v>160</v>
      </c>
      <c r="C76" s="16">
        <v>17331</v>
      </c>
      <c r="D76" s="17">
        <f t="shared" si="8"/>
        <v>1.7884701413408417E-3</v>
      </c>
      <c r="E76" s="98">
        <v>2002</v>
      </c>
      <c r="F76" s="16">
        <v>19115.599999999999</v>
      </c>
      <c r="G76" s="17">
        <f>F76/D104</f>
        <v>1.7413436574812114E-3</v>
      </c>
      <c r="H76" s="16">
        <v>5517.0292840000002</v>
      </c>
      <c r="I76" s="16">
        <v>1008.020337</v>
      </c>
      <c r="J76" s="16">
        <f t="shared" si="10"/>
        <v>4509.0089470000003</v>
      </c>
      <c r="K76" s="16">
        <f>F76+J76</f>
        <v>23624.608947000001</v>
      </c>
      <c r="L76" s="16">
        <v>500017</v>
      </c>
      <c r="M76" s="16">
        <f t="shared" si="11"/>
        <v>2015.9721309475478</v>
      </c>
      <c r="N76" s="16">
        <f t="shared" si="12"/>
        <v>9017.7112918160783</v>
      </c>
      <c r="O76" s="16">
        <f t="shared" si="13"/>
        <v>47247.611475209844</v>
      </c>
      <c r="P76" s="16">
        <f t="shared" si="14"/>
        <v>26150.817396926541</v>
      </c>
      <c r="Q76" s="16">
        <f t="shared" si="15"/>
        <v>-12079.082786467225</v>
      </c>
      <c r="R76" s="62"/>
    </row>
    <row r="77" spans="1:18" ht="13" thickBot="1">
      <c r="A77" s="19">
        <v>50</v>
      </c>
      <c r="B77" s="20" t="s">
        <v>161</v>
      </c>
      <c r="C77" s="21">
        <v>17782</v>
      </c>
      <c r="D77" s="17">
        <f t="shared" si="8"/>
        <v>1.8350110237910593E-3</v>
      </c>
      <c r="E77" s="22"/>
      <c r="F77" s="22"/>
      <c r="G77" s="22"/>
      <c r="H77" s="21">
        <v>4431.6319999999996</v>
      </c>
      <c r="I77" s="21">
        <v>1210.5619999999999</v>
      </c>
      <c r="J77" s="66">
        <f t="shared" si="10"/>
        <v>3221.0699999999997</v>
      </c>
      <c r="K77" s="16">
        <f t="shared" si="9"/>
        <v>21003.07</v>
      </c>
      <c r="L77" s="16">
        <v>608827</v>
      </c>
      <c r="M77" s="16">
        <f t="shared" si="11"/>
        <v>1988.3513707506402</v>
      </c>
      <c r="N77" s="16">
        <f t="shared" si="12"/>
        <v>5290.6162177432989</v>
      </c>
      <c r="O77" s="16">
        <f t="shared" si="13"/>
        <v>34497.599482283142</v>
      </c>
      <c r="P77" s="16">
        <f t="shared" si="14"/>
        <v>13400.805403999839</v>
      </c>
      <c r="Q77" s="16">
        <f t="shared" si="15"/>
        <v>-15806.177860540003</v>
      </c>
      <c r="R77" s="65"/>
    </row>
    <row r="78" spans="1:18" ht="13" thickBot="1">
      <c r="A78" s="23" t="s">
        <v>55</v>
      </c>
      <c r="B78" s="24"/>
      <c r="C78" s="25">
        <f>SUM(C28:C77)</f>
        <v>9690405</v>
      </c>
      <c r="D78" s="40">
        <f t="shared" ref="D78:L78" si="16">SUM(D28:D77)</f>
        <v>1</v>
      </c>
      <c r="E78" s="25"/>
      <c r="F78" s="25"/>
      <c r="G78" s="25"/>
      <c r="H78" s="25">
        <f>SUM(H28:H77)</f>
        <v>2650550.376689001</v>
      </c>
      <c r="I78" s="25">
        <f t="shared" si="16"/>
        <v>858496.10547700012</v>
      </c>
      <c r="J78" s="25">
        <f t="shared" si="16"/>
        <v>1792054.2712120002</v>
      </c>
      <c r="K78" s="25">
        <f t="shared" si="16"/>
        <v>12035152.871211996</v>
      </c>
      <c r="L78" s="25">
        <f t="shared" si="16"/>
        <v>284160708</v>
      </c>
      <c r="M78" s="25">
        <f>I78*1000000/L78</f>
        <v>3021.164014966489</v>
      </c>
      <c r="N78" s="25">
        <f>J78*1000000/L78</f>
        <v>6306.4815815844613</v>
      </c>
      <c r="O78" s="25">
        <f>K78*1000000/L78</f>
        <v>42353.33222498867</v>
      </c>
      <c r="P78" s="25">
        <f t="shared" si="14"/>
        <v>21256.538146705367</v>
      </c>
      <c r="Q78" s="25">
        <f>N78+$E$87</f>
        <v>-14790.312496698842</v>
      </c>
    </row>
    <row r="79" spans="1:18">
      <c r="A79" s="118" t="s">
        <v>1</v>
      </c>
      <c r="B79" s="118"/>
      <c r="C79" s="26">
        <f>SUM(C28:C37)</f>
        <v>5399330</v>
      </c>
      <c r="D79" s="17">
        <f>C79/$C$78</f>
        <v>0.55718311050982905</v>
      </c>
      <c r="E79" s="44"/>
      <c r="F79" s="44"/>
      <c r="G79" s="44"/>
      <c r="H79" s="26">
        <f>SUM(H28:H37)</f>
        <v>1495732</v>
      </c>
      <c r="I79" s="26">
        <f>SUM(I28:I37)</f>
        <v>566156</v>
      </c>
      <c r="J79" s="26">
        <f>SUM(J28:J37)</f>
        <v>929576</v>
      </c>
      <c r="K79" s="26">
        <f>SUM(K28:K37)</f>
        <v>6745175.8999999994</v>
      </c>
      <c r="L79" s="26">
        <f>SUM(L28:L37)</f>
        <v>150098145</v>
      </c>
      <c r="M79" s="26">
        <f>I79*1000000/L79</f>
        <v>3771.905375646048</v>
      </c>
      <c r="N79" s="26">
        <f>J79*1000000/L79</f>
        <v>6193.1211741490879</v>
      </c>
      <c r="O79" s="26">
        <f>K79*1000000/L79</f>
        <v>44938.436114583557</v>
      </c>
      <c r="P79" s="26">
        <f>O79+$E$87</f>
        <v>23841.642036300254</v>
      </c>
      <c r="Q79" s="26">
        <f>N79+$E$87</f>
        <v>-14903.672904134215</v>
      </c>
      <c r="R79" s="18"/>
    </row>
    <row r="80" spans="1:18">
      <c r="A80" s="113" t="s">
        <v>4</v>
      </c>
      <c r="B80" s="113"/>
      <c r="C80" s="27">
        <f>SUM(C28:C47)</f>
        <v>7558092</v>
      </c>
      <c r="D80" s="17">
        <f>C80/$C$78</f>
        <v>0.7799562556982913</v>
      </c>
      <c r="E80" s="17"/>
      <c r="F80" s="17"/>
      <c r="G80" s="17"/>
      <c r="H80" s="27">
        <f>SUM(H28:H47)</f>
        <v>2010758</v>
      </c>
      <c r="I80" s="27">
        <f>SUM(I28:I47)</f>
        <v>693972</v>
      </c>
      <c r="J80" s="27">
        <f>SUM(J28:J47)</f>
        <v>1316786</v>
      </c>
      <c r="K80" s="27">
        <f>SUM(K28:K47)</f>
        <v>9349908.8999999985</v>
      </c>
      <c r="L80" s="27">
        <f>SUM(L28:L47)</f>
        <v>213838164</v>
      </c>
      <c r="M80" s="27">
        <f>I80*1000000/L80</f>
        <v>3245.3140590937733</v>
      </c>
      <c r="N80" s="27">
        <f>J80*1000000/L80</f>
        <v>6157.8624477901894</v>
      </c>
      <c r="O80" s="27">
        <f>K80*1000000/L80</f>
        <v>43724.229225986048</v>
      </c>
      <c r="P80" s="27">
        <f>O80+$E$87</f>
        <v>22627.435147702745</v>
      </c>
      <c r="Q80" s="27">
        <f>N80+$E$87</f>
        <v>-14938.931630493113</v>
      </c>
      <c r="R80" s="18"/>
    </row>
    <row r="81" spans="1:18">
      <c r="A81" s="113" t="s">
        <v>3</v>
      </c>
      <c r="B81" s="113"/>
      <c r="C81" s="27">
        <f>SUM(C28:C57)</f>
        <v>8833864</v>
      </c>
      <c r="D81" s="17">
        <f>C81/$C$78</f>
        <v>0.91160937029979661</v>
      </c>
      <c r="E81" s="17"/>
      <c r="F81" s="17"/>
      <c r="G81" s="17"/>
      <c r="H81" s="27">
        <f>SUM(H28:H57)</f>
        <v>2330724.5099999998</v>
      </c>
      <c r="I81" s="27">
        <f>SUM(I28:I57)</f>
        <v>782745.10100000014</v>
      </c>
      <c r="J81" s="27">
        <f>SUM(J28:J57)</f>
        <v>1547979.4090000002</v>
      </c>
      <c r="K81" s="27">
        <f>SUM(K28:K57)</f>
        <v>10907494.608999999</v>
      </c>
      <c r="L81" s="27">
        <f>SUM(L28:L57)</f>
        <v>255286738</v>
      </c>
      <c r="M81" s="27">
        <f>I81*1000000/L81</f>
        <v>3066.1408701927953</v>
      </c>
      <c r="N81" s="27">
        <f>J81*1000000/L81</f>
        <v>6063.6890937906855</v>
      </c>
      <c r="O81" s="27">
        <f>K81*1000000/L81</f>
        <v>42726.44436782298</v>
      </c>
      <c r="P81" s="27">
        <f>O81+$E$87</f>
        <v>21629.650289539677</v>
      </c>
      <c r="Q81" s="27">
        <f>N81+$E$87</f>
        <v>-15033.104984492616</v>
      </c>
      <c r="R81" s="18"/>
    </row>
    <row r="82" spans="1:18">
      <c r="A82" s="113" t="s">
        <v>2</v>
      </c>
      <c r="B82" s="113"/>
      <c r="C82" s="27">
        <f>SUM(C28:C67)</f>
        <v>9420429</v>
      </c>
      <c r="D82" s="17">
        <f>C82/$C$78</f>
        <v>0.97213986412332609</v>
      </c>
      <c r="E82" s="17"/>
      <c r="F82" s="17"/>
      <c r="G82" s="17"/>
      <c r="H82" s="27">
        <f>SUM(H28:H67)</f>
        <v>2527023.1280000005</v>
      </c>
      <c r="I82" s="27">
        <f>SUM(I28:I67)</f>
        <v>833547.67100000009</v>
      </c>
      <c r="J82" s="27">
        <f>SUM(J28:J67)</f>
        <v>1693475.4570000002</v>
      </c>
      <c r="K82" s="27">
        <f>SUM(K28:K67)</f>
        <v>11658070.556999998</v>
      </c>
      <c r="L82" s="27">
        <f>SUM(L28:L67)</f>
        <v>275706361</v>
      </c>
      <c r="M82" s="27">
        <f>I82*1000000/L82</f>
        <v>3023.3167924623986</v>
      </c>
      <c r="N82" s="27">
        <f>J82*1000000/L82</f>
        <v>6142.3155086363795</v>
      </c>
      <c r="O82" s="27">
        <f>K82*1000000/L82</f>
        <v>42284.372818659773</v>
      </c>
      <c r="P82" s="27">
        <f>O82+$E$87</f>
        <v>21187.57874037647</v>
      </c>
      <c r="Q82" s="27">
        <f>N82+$E$87</f>
        <v>-14954.478569646923</v>
      </c>
      <c r="R82" s="18"/>
    </row>
    <row r="83" spans="1:18" ht="24.75" customHeight="1">
      <c r="A83" s="114" t="s">
        <v>205</v>
      </c>
      <c r="B83" s="115"/>
      <c r="C83" s="67" t="s">
        <v>206</v>
      </c>
      <c r="D83" s="18"/>
      <c r="E83" s="18"/>
      <c r="F83" s="18"/>
      <c r="G83" s="18"/>
      <c r="H83" s="18"/>
      <c r="I83" s="18"/>
      <c r="J83" s="18"/>
      <c r="K83" s="18"/>
      <c r="L83" s="18"/>
      <c r="M83" s="18"/>
      <c r="N83" s="18"/>
      <c r="O83" s="18"/>
      <c r="P83" s="18"/>
      <c r="Q83" s="18"/>
      <c r="R83" s="18"/>
    </row>
    <row r="85" spans="1:18">
      <c r="A85" s="35" t="s">
        <v>313</v>
      </c>
      <c r="E85" s="16">
        <v>-5937100</v>
      </c>
      <c r="F85" s="68"/>
      <c r="G85" s="68"/>
    </row>
    <row r="86" spans="1:18">
      <c r="A86" s="35" t="s">
        <v>207</v>
      </c>
      <c r="E86" s="16">
        <v>281421906</v>
      </c>
      <c r="F86" s="68"/>
      <c r="G86" s="68"/>
    </row>
    <row r="87" spans="1:18">
      <c r="A87" s="35" t="s">
        <v>208</v>
      </c>
      <c r="E87" s="16">
        <f>E85*1000000/E86</f>
        <v>-21096.794078283303</v>
      </c>
      <c r="F87" s="68"/>
      <c r="G87" s="68"/>
    </row>
    <row r="89" spans="1:18" ht="12.75" customHeight="1">
      <c r="A89" s="29" t="s">
        <v>209</v>
      </c>
      <c r="B89" s="28"/>
      <c r="C89" s="28"/>
      <c r="D89" s="28"/>
      <c r="E89" s="28"/>
      <c r="F89" s="28"/>
      <c r="G89" s="28"/>
      <c r="H89" s="28"/>
      <c r="I89" s="28"/>
      <c r="J89" s="28"/>
      <c r="K89" s="12"/>
    </row>
    <row r="90" spans="1:18" ht="12.75" customHeight="1">
      <c r="A90" s="29" t="s">
        <v>307</v>
      </c>
      <c r="B90" s="28"/>
      <c r="C90" s="28"/>
      <c r="D90" s="28"/>
      <c r="E90" s="28"/>
      <c r="F90" s="28"/>
      <c r="G90" s="28"/>
      <c r="H90" s="28"/>
      <c r="I90" s="28"/>
      <c r="J90" s="28"/>
      <c r="K90" s="12"/>
    </row>
    <row r="91" spans="1:18">
      <c r="A91" s="116" t="s">
        <v>306</v>
      </c>
      <c r="B91" s="111"/>
      <c r="C91" s="111"/>
      <c r="D91" s="111"/>
      <c r="E91" s="111"/>
      <c r="F91" s="111"/>
      <c r="G91" s="111"/>
      <c r="H91" s="111"/>
      <c r="I91" s="111"/>
      <c r="J91" s="111"/>
      <c r="K91" s="111"/>
      <c r="L91" s="111"/>
      <c r="M91" s="111"/>
    </row>
    <row r="92" spans="1:18">
      <c r="A92" s="62" t="s">
        <v>308</v>
      </c>
      <c r="B92" s="77"/>
      <c r="C92" s="77"/>
      <c r="D92" s="77"/>
      <c r="E92" s="77"/>
      <c r="F92" s="77"/>
      <c r="G92" s="77"/>
      <c r="H92" s="77"/>
      <c r="I92" s="77"/>
      <c r="J92" s="77"/>
      <c r="K92" s="77"/>
      <c r="L92" s="77"/>
      <c r="M92" s="77"/>
    </row>
    <row r="93" spans="1:18">
      <c r="A93" s="62" t="s">
        <v>305</v>
      </c>
      <c r="B93" s="77"/>
      <c r="C93" s="77"/>
      <c r="D93" s="77"/>
      <c r="E93" s="77"/>
      <c r="F93" s="77"/>
      <c r="G93" s="77"/>
      <c r="H93" s="77"/>
      <c r="I93" s="77"/>
      <c r="J93" s="77"/>
      <c r="K93" s="77"/>
      <c r="L93" s="77"/>
      <c r="M93" s="77"/>
    </row>
    <row r="94" spans="1:18">
      <c r="A94" s="69" t="s">
        <v>210</v>
      </c>
      <c r="B94" s="69"/>
      <c r="C94" s="69"/>
      <c r="D94" s="69"/>
      <c r="E94" s="69"/>
      <c r="F94" s="69"/>
      <c r="G94" s="69"/>
      <c r="H94" s="69"/>
      <c r="I94" s="69"/>
      <c r="J94" s="69"/>
      <c r="K94" s="69"/>
      <c r="L94" s="69"/>
      <c r="M94" s="18"/>
    </row>
    <row r="95" spans="1:18">
      <c r="A95" s="69" t="s">
        <v>168</v>
      </c>
      <c r="B95" s="69"/>
      <c r="C95" s="69"/>
      <c r="D95" s="69"/>
      <c r="E95" s="69"/>
      <c r="F95" s="69"/>
      <c r="G95" s="69"/>
      <c r="H95" s="69"/>
      <c r="I95" s="69"/>
      <c r="J95" s="69"/>
      <c r="K95" s="69"/>
      <c r="L95" s="69"/>
      <c r="M95" s="18"/>
    </row>
    <row r="96" spans="1:18">
      <c r="A96" s="111" t="s">
        <v>213</v>
      </c>
      <c r="B96" s="111"/>
      <c r="C96" s="111"/>
      <c r="D96" s="111"/>
      <c r="E96" s="111"/>
      <c r="F96" s="111"/>
      <c r="G96" s="111"/>
      <c r="H96" s="111"/>
      <c r="I96" s="111"/>
      <c r="J96" s="111"/>
      <c r="K96" s="111"/>
      <c r="L96" s="111"/>
      <c r="M96" s="18"/>
    </row>
    <row r="97" spans="1:17">
      <c r="A97" s="111" t="s">
        <v>211</v>
      </c>
      <c r="B97" s="111"/>
      <c r="C97" s="111"/>
      <c r="D97" s="111"/>
      <c r="E97" s="111"/>
      <c r="F97" s="111"/>
      <c r="G97" s="111"/>
      <c r="H97" s="111"/>
      <c r="I97" s="111"/>
      <c r="J97" s="111"/>
      <c r="K97" s="111"/>
      <c r="L97" s="111"/>
      <c r="M97" s="18"/>
    </row>
    <row r="98" spans="1:17">
      <c r="A98" s="112" t="s">
        <v>212</v>
      </c>
      <c r="B98" s="112"/>
      <c r="C98" s="112"/>
      <c r="D98" s="112"/>
      <c r="E98" s="112"/>
      <c r="F98" s="112"/>
      <c r="G98" s="112"/>
      <c r="H98" s="112"/>
      <c r="I98" s="112"/>
      <c r="J98" s="112"/>
      <c r="K98" s="112"/>
      <c r="L98" s="112"/>
      <c r="M98" s="112"/>
      <c r="N98" s="28"/>
      <c r="O98" s="28"/>
      <c r="P98" s="28"/>
      <c r="Q98" s="28"/>
    </row>
    <row r="101" spans="1:17" ht="24">
      <c r="B101" s="70" t="s">
        <v>214</v>
      </c>
      <c r="C101" s="70" t="s">
        <v>215</v>
      </c>
      <c r="D101" s="70" t="s">
        <v>216</v>
      </c>
      <c r="E101" s="71"/>
    </row>
    <row r="102" spans="1:17">
      <c r="B102" s="72">
        <v>2000</v>
      </c>
      <c r="C102" s="73">
        <v>10284.799999999999</v>
      </c>
      <c r="D102" s="73">
        <f>C102*1000</f>
        <v>10284800</v>
      </c>
    </row>
    <row r="103" spans="1:17">
      <c r="B103" s="73" t="s">
        <v>217</v>
      </c>
      <c r="C103" s="73">
        <v>10621.8</v>
      </c>
      <c r="D103" s="73">
        <f t="shared" ref="D103:D119" si="17">C103*1000</f>
        <v>10621800</v>
      </c>
    </row>
    <row r="104" spans="1:17">
      <c r="B104" s="73" t="s">
        <v>218</v>
      </c>
      <c r="C104" s="73">
        <v>10977.5</v>
      </c>
      <c r="D104" s="73">
        <f t="shared" si="17"/>
        <v>10977500</v>
      </c>
    </row>
    <row r="105" spans="1:17">
      <c r="B105" s="73" t="s">
        <v>219</v>
      </c>
      <c r="C105" s="73">
        <v>11510.7</v>
      </c>
      <c r="D105" s="73">
        <f t="shared" si="17"/>
        <v>11510700</v>
      </c>
    </row>
    <row r="106" spans="1:17">
      <c r="B106" s="73" t="s">
        <v>220</v>
      </c>
      <c r="C106" s="73">
        <v>12274.9</v>
      </c>
      <c r="D106" s="73">
        <f t="shared" si="17"/>
        <v>12274900</v>
      </c>
    </row>
    <row r="107" spans="1:17">
      <c r="B107" s="73" t="s">
        <v>221</v>
      </c>
      <c r="C107" s="73">
        <v>13093.7</v>
      </c>
      <c r="D107" s="73">
        <f t="shared" si="17"/>
        <v>13093700</v>
      </c>
    </row>
    <row r="108" spans="1:17">
      <c r="B108" s="73" t="s">
        <v>222</v>
      </c>
      <c r="C108" s="73">
        <v>13855.9</v>
      </c>
      <c r="D108" s="73">
        <f t="shared" si="17"/>
        <v>13855900</v>
      </c>
    </row>
    <row r="109" spans="1:17">
      <c r="B109" s="73" t="s">
        <v>223</v>
      </c>
      <c r="C109" s="73">
        <v>14477.6</v>
      </c>
      <c r="D109" s="73">
        <f t="shared" si="17"/>
        <v>14477600</v>
      </c>
    </row>
    <row r="110" spans="1:17">
      <c r="B110" s="73" t="s">
        <v>224</v>
      </c>
      <c r="C110" s="73">
        <v>14718.6</v>
      </c>
      <c r="D110" s="73">
        <f t="shared" si="17"/>
        <v>14718600</v>
      </c>
    </row>
    <row r="111" spans="1:17">
      <c r="B111" s="73" t="s">
        <v>225</v>
      </c>
      <c r="C111" s="73">
        <v>14418.7</v>
      </c>
      <c r="D111" s="73">
        <f t="shared" si="17"/>
        <v>14418700</v>
      </c>
    </row>
    <row r="112" spans="1:17">
      <c r="B112" s="73" t="s">
        <v>226</v>
      </c>
      <c r="C112" s="73">
        <v>14964.4</v>
      </c>
      <c r="D112" s="73">
        <f t="shared" si="17"/>
        <v>14964400</v>
      </c>
    </row>
    <row r="113" spans="2:4">
      <c r="B113" s="73" t="s">
        <v>227</v>
      </c>
      <c r="C113" s="73">
        <v>15517.9</v>
      </c>
      <c r="D113" s="73">
        <f t="shared" si="17"/>
        <v>15517900</v>
      </c>
    </row>
    <row r="114" spans="2:4">
      <c r="B114" s="73" t="s">
        <v>228</v>
      </c>
      <c r="C114" s="73">
        <v>16155.3</v>
      </c>
      <c r="D114" s="73">
        <f t="shared" si="17"/>
        <v>16155300</v>
      </c>
    </row>
    <row r="115" spans="2:4">
      <c r="B115" s="73" t="s">
        <v>229</v>
      </c>
      <c r="C115" s="73">
        <v>16691.5</v>
      </c>
      <c r="D115" s="73">
        <f t="shared" si="17"/>
        <v>16691500</v>
      </c>
    </row>
    <row r="116" spans="2:4">
      <c r="B116" s="73" t="s">
        <v>230</v>
      </c>
      <c r="C116" s="73">
        <v>17427.599999999999</v>
      </c>
      <c r="D116" s="73">
        <f t="shared" si="17"/>
        <v>17427600</v>
      </c>
    </row>
    <row r="117" spans="2:4">
      <c r="B117" s="73" t="s">
        <v>231</v>
      </c>
      <c r="C117" s="73">
        <v>18120.7</v>
      </c>
      <c r="D117" s="73">
        <f t="shared" si="17"/>
        <v>18120700</v>
      </c>
    </row>
    <row r="118" spans="2:4">
      <c r="B118" s="73" t="s">
        <v>232</v>
      </c>
      <c r="C118" s="73">
        <v>18624.5</v>
      </c>
      <c r="D118" s="73">
        <f t="shared" si="17"/>
        <v>18624500</v>
      </c>
    </row>
    <row r="119" spans="2:4">
      <c r="B119" s="73" t="s">
        <v>233</v>
      </c>
      <c r="C119" s="73">
        <v>19390.599999999999</v>
      </c>
      <c r="D119" s="73">
        <f t="shared" si="17"/>
        <v>19390600</v>
      </c>
    </row>
  </sheetData>
  <mergeCells count="21">
    <mergeCell ref="A2:Q2"/>
    <mergeCell ref="A4:Q4"/>
    <mergeCell ref="A6:Q13"/>
    <mergeCell ref="A79:B79"/>
    <mergeCell ref="A80:B80"/>
    <mergeCell ref="A16:B16"/>
    <mergeCell ref="A17:B17"/>
    <mergeCell ref="A18:B18"/>
    <mergeCell ref="A3:Q3"/>
    <mergeCell ref="A15:B15"/>
    <mergeCell ref="A97:L97"/>
    <mergeCell ref="A98:M98"/>
    <mergeCell ref="A96:L96"/>
    <mergeCell ref="A21:B21"/>
    <mergeCell ref="A22:B22"/>
    <mergeCell ref="A23:B23"/>
    <mergeCell ref="A24:B24"/>
    <mergeCell ref="A82:B82"/>
    <mergeCell ref="A83:B83"/>
    <mergeCell ref="A91:M91"/>
    <mergeCell ref="A81:B81"/>
  </mergeCells>
  <printOptions horizontalCentered="1"/>
  <pageMargins left="0.5" right="0.5" top="0.75" bottom="0.75" header="0.3" footer="0.3"/>
  <pageSetup paperSize="9" scale="74" fitToHeight="0" orientation="landscape"/>
  <headerFooter>
    <oddHeader xml:space="preserve">&amp;R&amp;8
</oddHeader>
    <oddFooter>&amp;C&amp;"Arial,Regular"&amp;10&amp;P of &amp;N</oddFooter>
  </headerFooter>
  <rowBreaks count="1" manualBreakCount="1">
    <brk id="25" max="16"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19"/>
  <sheetViews>
    <sheetView showWhiteSpace="0" view="pageBreakPreview" zoomScaleSheetLayoutView="100" workbookViewId="0">
      <selection activeCell="Q1" sqref="Q1"/>
    </sheetView>
  </sheetViews>
  <sheetFormatPr baseColWidth="10" defaultColWidth="9.1640625" defaultRowHeight="12" x14ac:dyDescent="0"/>
  <cols>
    <col min="1" max="1" width="3.1640625" style="8" customWidth="1"/>
    <col min="2" max="2" width="16.83203125" style="8" customWidth="1"/>
    <col min="3" max="3" width="9.83203125" style="8" bestFit="1" customWidth="1"/>
    <col min="4" max="4" width="10.1640625" style="8" customWidth="1"/>
    <col min="5" max="5" width="11.1640625" style="8" bestFit="1" customWidth="1"/>
    <col min="6" max="6" width="10.83203125" style="8" customWidth="1"/>
    <col min="7" max="7" width="7.6640625" style="8" customWidth="1"/>
    <col min="8" max="9" width="11.6640625" style="8" bestFit="1" customWidth="1"/>
    <col min="10" max="10" width="12.83203125" style="8" customWidth="1"/>
    <col min="11" max="11" width="10.33203125" style="8" customWidth="1"/>
    <col min="12" max="12" width="11" style="8" customWidth="1"/>
    <col min="13" max="14" width="11.6640625" style="8" bestFit="1" customWidth="1"/>
    <col min="15" max="15" width="9.1640625" style="8" customWidth="1"/>
    <col min="16" max="16" width="9.1640625" style="8"/>
    <col min="17" max="17" width="14.33203125" style="8" customWidth="1"/>
    <col min="18" max="18" width="43.33203125" style="8" bestFit="1" customWidth="1"/>
    <col min="19" max="16384" width="9.1640625" style="8"/>
  </cols>
  <sheetData>
    <row r="1" spans="1:18">
      <c r="A1" s="36"/>
      <c r="B1" s="36"/>
      <c r="C1" s="36"/>
      <c r="D1" s="36"/>
      <c r="E1" s="36"/>
      <c r="F1" s="36"/>
      <c r="G1" s="36"/>
      <c r="H1" s="36"/>
      <c r="I1" s="36"/>
      <c r="J1" s="36"/>
      <c r="K1" s="36"/>
      <c r="L1" s="36"/>
      <c r="M1" s="37"/>
      <c r="N1" s="36"/>
      <c r="O1" s="36"/>
      <c r="P1" s="36"/>
      <c r="Q1" s="60" t="str">
        <f>'2017 Ranked by GDP'!N1</f>
        <v>Draft 15.01.2019.2130ET</v>
      </c>
    </row>
    <row r="2" spans="1:18" s="38" customFormat="1" ht="17">
      <c r="A2" s="104" t="s">
        <v>163</v>
      </c>
      <c r="B2" s="104"/>
      <c r="C2" s="104"/>
      <c r="D2" s="104"/>
      <c r="E2" s="104"/>
      <c r="F2" s="104"/>
      <c r="G2" s="104"/>
      <c r="H2" s="104"/>
      <c r="I2" s="104"/>
      <c r="J2" s="104"/>
      <c r="K2" s="104"/>
      <c r="L2" s="104"/>
      <c r="M2" s="104"/>
      <c r="N2" s="104"/>
      <c r="O2" s="104"/>
      <c r="P2" s="104"/>
      <c r="Q2" s="104"/>
    </row>
    <row r="3" spans="1:18" ht="54" customHeight="1">
      <c r="A3" s="119"/>
      <c r="B3" s="119"/>
      <c r="C3" s="119"/>
      <c r="D3" s="119"/>
      <c r="E3" s="119"/>
      <c r="F3" s="119"/>
      <c r="G3" s="119"/>
      <c r="H3" s="119"/>
      <c r="I3" s="119"/>
      <c r="J3" s="119"/>
      <c r="K3" s="119"/>
      <c r="L3" s="119"/>
      <c r="M3" s="119"/>
      <c r="N3" s="119"/>
      <c r="O3" s="119"/>
      <c r="P3" s="119"/>
      <c r="Q3" s="119"/>
    </row>
    <row r="4" spans="1:18" s="39" customFormat="1" ht="17">
      <c r="A4" s="105" t="s">
        <v>316</v>
      </c>
      <c r="B4" s="106"/>
      <c r="C4" s="106"/>
      <c r="D4" s="106"/>
      <c r="E4" s="106"/>
      <c r="F4" s="106"/>
      <c r="G4" s="106"/>
      <c r="H4" s="106"/>
      <c r="I4" s="106"/>
      <c r="J4" s="106"/>
      <c r="K4" s="106"/>
      <c r="L4" s="106"/>
      <c r="M4" s="106"/>
      <c r="N4" s="106"/>
      <c r="O4" s="106"/>
      <c r="P4" s="106"/>
      <c r="Q4" s="106"/>
    </row>
    <row r="5" spans="1:18" s="10" customFormat="1">
      <c r="A5" s="31"/>
      <c r="B5" s="31"/>
      <c r="C5" s="31"/>
      <c r="D5" s="31"/>
      <c r="E5" s="31"/>
      <c r="F5" s="31"/>
      <c r="G5" s="31"/>
      <c r="H5" s="31"/>
      <c r="I5" s="31"/>
      <c r="J5" s="31"/>
      <c r="K5" s="31"/>
      <c r="L5" s="31"/>
      <c r="M5" s="31"/>
      <c r="N5" s="31"/>
      <c r="O5" s="31"/>
      <c r="P5" s="31"/>
      <c r="Q5" s="31"/>
    </row>
    <row r="6" spans="1:18">
      <c r="A6" s="117" t="s">
        <v>311</v>
      </c>
      <c r="B6" s="117"/>
      <c r="C6" s="117"/>
      <c r="D6" s="117"/>
      <c r="E6" s="117"/>
      <c r="F6" s="117"/>
      <c r="G6" s="117"/>
      <c r="H6" s="117"/>
      <c r="I6" s="117"/>
      <c r="J6" s="117"/>
      <c r="K6" s="117"/>
      <c r="L6" s="117"/>
      <c r="M6" s="117"/>
      <c r="N6" s="117"/>
      <c r="O6" s="117"/>
      <c r="P6" s="117"/>
      <c r="Q6" s="117"/>
    </row>
    <row r="7" spans="1:18">
      <c r="A7" s="117"/>
      <c r="B7" s="117"/>
      <c r="C7" s="117"/>
      <c r="D7" s="117"/>
      <c r="E7" s="117"/>
      <c r="F7" s="117"/>
      <c r="G7" s="117"/>
      <c r="H7" s="117"/>
      <c r="I7" s="117"/>
      <c r="J7" s="117"/>
      <c r="K7" s="117"/>
      <c r="L7" s="117"/>
      <c r="M7" s="117"/>
      <c r="N7" s="117"/>
      <c r="O7" s="117"/>
      <c r="P7" s="117"/>
      <c r="Q7" s="117"/>
    </row>
    <row r="8" spans="1:18">
      <c r="A8" s="117"/>
      <c r="B8" s="117"/>
      <c r="C8" s="117"/>
      <c r="D8" s="117"/>
      <c r="E8" s="117"/>
      <c r="F8" s="117"/>
      <c r="G8" s="117"/>
      <c r="H8" s="117"/>
      <c r="I8" s="117"/>
      <c r="J8" s="117"/>
      <c r="K8" s="117"/>
      <c r="L8" s="117"/>
      <c r="M8" s="117"/>
      <c r="N8" s="117"/>
      <c r="O8" s="117"/>
      <c r="P8" s="117"/>
      <c r="Q8" s="117"/>
    </row>
    <row r="9" spans="1:18">
      <c r="A9" s="117"/>
      <c r="B9" s="117"/>
      <c r="C9" s="117"/>
      <c r="D9" s="117"/>
      <c r="E9" s="117"/>
      <c r="F9" s="117"/>
      <c r="G9" s="117"/>
      <c r="H9" s="117"/>
      <c r="I9" s="117"/>
      <c r="J9" s="117"/>
      <c r="K9" s="117"/>
      <c r="L9" s="117"/>
      <c r="M9" s="117"/>
      <c r="N9" s="117"/>
      <c r="O9" s="117"/>
      <c r="P9" s="117"/>
      <c r="Q9" s="117"/>
    </row>
    <row r="10" spans="1:18">
      <c r="A10" s="117"/>
      <c r="B10" s="117"/>
      <c r="C10" s="117"/>
      <c r="D10" s="117"/>
      <c r="E10" s="117"/>
      <c r="F10" s="117"/>
      <c r="G10" s="117"/>
      <c r="H10" s="117"/>
      <c r="I10" s="117"/>
      <c r="J10" s="117"/>
      <c r="K10" s="117"/>
      <c r="L10" s="117"/>
      <c r="M10" s="117"/>
      <c r="N10" s="117"/>
      <c r="O10" s="117"/>
      <c r="P10" s="117"/>
      <c r="Q10" s="117"/>
    </row>
    <row r="11" spans="1:18">
      <c r="A11" s="117"/>
      <c r="B11" s="117"/>
      <c r="C11" s="117"/>
      <c r="D11" s="117"/>
      <c r="E11" s="117"/>
      <c r="F11" s="117"/>
      <c r="G11" s="117"/>
      <c r="H11" s="117"/>
      <c r="I11" s="117"/>
      <c r="J11" s="117"/>
      <c r="K11" s="117"/>
      <c r="L11" s="117"/>
      <c r="M11" s="117"/>
      <c r="N11" s="117"/>
      <c r="O11" s="117"/>
      <c r="P11" s="117"/>
      <c r="Q11" s="117"/>
    </row>
    <row r="12" spans="1:18">
      <c r="A12" s="117"/>
      <c r="B12" s="117"/>
      <c r="C12" s="117"/>
      <c r="D12" s="117"/>
      <c r="E12" s="117"/>
      <c r="F12" s="117"/>
      <c r="G12" s="117"/>
      <c r="H12" s="117"/>
      <c r="I12" s="117"/>
      <c r="J12" s="117"/>
      <c r="K12" s="117"/>
      <c r="L12" s="117"/>
      <c r="M12" s="117"/>
      <c r="N12" s="117"/>
      <c r="O12" s="117"/>
      <c r="P12" s="117"/>
      <c r="Q12" s="117"/>
    </row>
    <row r="13" spans="1:18">
      <c r="A13" s="117"/>
      <c r="B13" s="117"/>
      <c r="C13" s="117"/>
      <c r="D13" s="117"/>
      <c r="E13" s="117"/>
      <c r="F13" s="117"/>
      <c r="G13" s="117"/>
      <c r="H13" s="117"/>
      <c r="I13" s="117"/>
      <c r="J13" s="117"/>
      <c r="K13" s="117"/>
      <c r="L13" s="117"/>
      <c r="M13" s="117"/>
      <c r="N13" s="117"/>
      <c r="O13" s="117"/>
      <c r="P13" s="117"/>
      <c r="Q13" s="117"/>
    </row>
    <row r="14" spans="1:18">
      <c r="A14" s="82"/>
      <c r="B14" s="82"/>
      <c r="C14" s="82"/>
      <c r="D14" s="82"/>
      <c r="E14" s="82"/>
      <c r="F14" s="82"/>
      <c r="G14" s="82"/>
      <c r="H14" s="82"/>
      <c r="I14" s="82"/>
      <c r="J14" s="82"/>
      <c r="K14" s="82"/>
      <c r="L14" s="82"/>
      <c r="M14" s="82"/>
      <c r="N14" s="82"/>
      <c r="O14" s="82"/>
      <c r="P14" s="82"/>
      <c r="Q14" s="82"/>
    </row>
    <row r="15" spans="1:18" ht="106.5" customHeight="1">
      <c r="A15" s="120"/>
      <c r="B15" s="121"/>
      <c r="C15" s="50" t="s">
        <v>196</v>
      </c>
      <c r="D15" s="50" t="s">
        <v>164</v>
      </c>
      <c r="E15" s="50"/>
      <c r="F15" s="50"/>
      <c r="G15" s="50"/>
      <c r="H15" s="51" t="s">
        <v>185</v>
      </c>
      <c r="I15" s="51" t="s">
        <v>186</v>
      </c>
      <c r="J15" s="51" t="s">
        <v>309</v>
      </c>
      <c r="K15" s="51" t="s">
        <v>187</v>
      </c>
      <c r="L15" s="50" t="s">
        <v>167</v>
      </c>
      <c r="M15" s="51" t="s">
        <v>188</v>
      </c>
      <c r="N15" s="51" t="s">
        <v>310</v>
      </c>
      <c r="O15" s="51" t="s">
        <v>189</v>
      </c>
      <c r="P15" s="51" t="s">
        <v>190</v>
      </c>
      <c r="Q15" s="51" t="s">
        <v>195</v>
      </c>
      <c r="R15" s="61" t="s">
        <v>199</v>
      </c>
    </row>
    <row r="16" spans="1:18" s="10" customFormat="1">
      <c r="A16" s="108" t="s">
        <v>183</v>
      </c>
      <c r="B16" s="108"/>
      <c r="C16" s="27">
        <f t="shared" ref="C16:D16" si="0">C78</f>
        <v>9690405</v>
      </c>
      <c r="D16" s="52">
        <f t="shared" si="0"/>
        <v>0.99999999999999989</v>
      </c>
      <c r="E16" s="89"/>
      <c r="F16" s="89"/>
      <c r="G16" s="89"/>
      <c r="H16" s="27">
        <f t="shared" ref="H16:Q16" si="1">H78</f>
        <v>2650550.3766890005</v>
      </c>
      <c r="I16" s="27">
        <f t="shared" si="1"/>
        <v>858496.10547700012</v>
      </c>
      <c r="J16" s="27">
        <f t="shared" si="1"/>
        <v>1792054.2712120004</v>
      </c>
      <c r="K16" s="27">
        <f t="shared" si="1"/>
        <v>12035152.871211998</v>
      </c>
      <c r="L16" s="27">
        <f t="shared" si="1"/>
        <v>284160708</v>
      </c>
      <c r="M16" s="27">
        <f t="shared" si="1"/>
        <v>3021.164014966489</v>
      </c>
      <c r="N16" s="27">
        <f t="shared" si="1"/>
        <v>6306.4815815844622</v>
      </c>
      <c r="O16" s="27">
        <f t="shared" si="1"/>
        <v>42353.332224988677</v>
      </c>
      <c r="P16" s="27">
        <f t="shared" si="1"/>
        <v>21256.538146705374</v>
      </c>
      <c r="Q16" s="27">
        <f t="shared" si="1"/>
        <v>-14790.31249669884</v>
      </c>
      <c r="R16" s="78"/>
    </row>
    <row r="17" spans="1:18" s="10" customFormat="1">
      <c r="A17" s="108" t="s">
        <v>181</v>
      </c>
      <c r="B17" s="108"/>
      <c r="C17" s="27">
        <f>C16</f>
        <v>9690405</v>
      </c>
      <c r="D17" s="89"/>
      <c r="E17" s="89"/>
      <c r="F17" s="89"/>
      <c r="G17" s="89"/>
      <c r="H17" s="89">
        <v>911500</v>
      </c>
      <c r="I17" s="89">
        <v>6848600</v>
      </c>
      <c r="J17" s="89">
        <f>H17-I17</f>
        <v>-5937100</v>
      </c>
      <c r="K17" s="27">
        <f>F17+J17</f>
        <v>-5937100</v>
      </c>
      <c r="L17" s="27">
        <f>L16</f>
        <v>284160708</v>
      </c>
      <c r="M17" s="27">
        <f>(I17/L17*1000000)</f>
        <v>24101.150536266257</v>
      </c>
      <c r="N17" s="27">
        <f>(J17/L17)*1000000</f>
        <v>-20893.458641016619</v>
      </c>
      <c r="O17" s="27">
        <f>(K17*1000000)/L17</f>
        <v>-20893.458641016619</v>
      </c>
      <c r="P17" s="59" t="s">
        <v>184</v>
      </c>
      <c r="Q17" s="59" t="s">
        <v>184</v>
      </c>
      <c r="R17" s="78"/>
    </row>
    <row r="18" spans="1:18" s="10" customFormat="1">
      <c r="A18" s="108" t="s">
        <v>182</v>
      </c>
      <c r="B18" s="108"/>
      <c r="C18" s="27">
        <f>C16</f>
        <v>9690405</v>
      </c>
      <c r="D18" s="89"/>
      <c r="E18" s="89"/>
      <c r="F18" s="89"/>
      <c r="G18" s="89"/>
      <c r="H18" s="27">
        <f>H16+H17</f>
        <v>3562050.3766890005</v>
      </c>
      <c r="I18" s="27">
        <f>I16+I17</f>
        <v>7707096.1054769997</v>
      </c>
      <c r="J18" s="27">
        <f>J16+J17</f>
        <v>-4145045.7287879996</v>
      </c>
      <c r="K18" s="27">
        <f>F18+J18</f>
        <v>-4145045.7287879996</v>
      </c>
      <c r="L18" s="27">
        <f>L16</f>
        <v>284160708</v>
      </c>
      <c r="M18" s="27">
        <f>(I18/L18)*1000000</f>
        <v>27122.31455123275</v>
      </c>
      <c r="N18" s="27">
        <f>(J18/L18)*1000000</f>
        <v>-14586.977059432156</v>
      </c>
      <c r="O18" s="27">
        <f>(K18*1000000)/L18</f>
        <v>-14586.977059432156</v>
      </c>
      <c r="P18" s="59" t="s">
        <v>184</v>
      </c>
      <c r="Q18" s="59" t="s">
        <v>184</v>
      </c>
      <c r="R18" s="78"/>
    </row>
    <row r="19" spans="1:18" s="81" customFormat="1" ht="13.25" customHeight="1">
      <c r="A19" s="93" t="s">
        <v>194</v>
      </c>
      <c r="B19" s="94"/>
      <c r="C19" s="53"/>
      <c r="D19" s="54"/>
      <c r="G19" s="80"/>
      <c r="H19" s="58">
        <f>H17/H16</f>
        <v>0.34389084169704498</v>
      </c>
      <c r="I19" s="58">
        <f>I17/I16</f>
        <v>7.9774386351988875</v>
      </c>
      <c r="J19" s="80"/>
      <c r="K19" s="80"/>
      <c r="L19" s="80"/>
      <c r="M19" s="80"/>
      <c r="N19" s="80"/>
      <c r="O19" s="80"/>
      <c r="P19" s="80"/>
      <c r="Q19" s="80"/>
      <c r="R19" s="79"/>
    </row>
    <row r="20" spans="1:18" s="81" customFormat="1">
      <c r="A20" s="87"/>
      <c r="B20" s="88"/>
      <c r="C20" s="80"/>
      <c r="D20" s="80"/>
      <c r="E20" s="80"/>
      <c r="F20" s="80"/>
      <c r="G20" s="80"/>
      <c r="H20" s="80"/>
      <c r="I20" s="80"/>
      <c r="J20" s="80"/>
      <c r="K20" s="80"/>
      <c r="L20" s="80"/>
      <c r="M20" s="80"/>
      <c r="N20" s="80"/>
      <c r="O20" s="80"/>
      <c r="P20" s="80"/>
      <c r="Q20" s="80"/>
      <c r="R20" s="79"/>
    </row>
    <row r="21" spans="1:18">
      <c r="A21" s="103" t="s">
        <v>1</v>
      </c>
      <c r="B21" s="103"/>
      <c r="C21" s="27">
        <f t="shared" ref="C21:D24" si="2">C79</f>
        <v>3324572</v>
      </c>
      <c r="D21" s="95">
        <f t="shared" si="2"/>
        <v>0.34307874645074171</v>
      </c>
      <c r="E21" s="27"/>
      <c r="F21" s="27"/>
      <c r="G21" s="27"/>
      <c r="H21" s="27">
        <f t="shared" ref="H21:Q24" si="3">H79</f>
        <v>1116951.341</v>
      </c>
      <c r="I21" s="27">
        <f t="shared" si="3"/>
        <v>307915.58900000004</v>
      </c>
      <c r="J21" s="27">
        <f t="shared" si="3"/>
        <v>809035.75199999998</v>
      </c>
      <c r="K21" s="27">
        <f t="shared" si="3"/>
        <v>4410729.6519999998</v>
      </c>
      <c r="L21" s="27">
        <f t="shared" si="3"/>
        <v>84766076</v>
      </c>
      <c r="M21" s="27">
        <f t="shared" si="3"/>
        <v>3632.5332436056146</v>
      </c>
      <c r="N21" s="27">
        <f t="shared" si="3"/>
        <v>9544.3341272515663</v>
      </c>
      <c r="O21" s="27">
        <f t="shared" si="3"/>
        <v>52034.137477355915</v>
      </c>
      <c r="P21" s="27">
        <f t="shared" si="3"/>
        <v>30937.343399072612</v>
      </c>
      <c r="Q21" s="27">
        <f t="shared" si="3"/>
        <v>-11552.459951031737</v>
      </c>
      <c r="R21" s="18"/>
    </row>
    <row r="22" spans="1:18">
      <c r="A22" s="103" t="s">
        <v>4</v>
      </c>
      <c r="B22" s="103"/>
      <c r="C22" s="27">
        <f t="shared" si="2"/>
        <v>5434810</v>
      </c>
      <c r="D22" s="95">
        <f t="shared" si="2"/>
        <v>0.5608444641890612</v>
      </c>
      <c r="E22" s="27"/>
      <c r="F22" s="27"/>
      <c r="G22" s="27"/>
      <c r="H22" s="27">
        <f t="shared" si="3"/>
        <v>1577286.1182839999</v>
      </c>
      <c r="I22" s="27">
        <f t="shared" si="3"/>
        <v>433544.38633700006</v>
      </c>
      <c r="J22" s="27">
        <f t="shared" si="3"/>
        <v>1143741.7319470001</v>
      </c>
      <c r="K22" s="27">
        <f t="shared" si="3"/>
        <v>6926033.7319470001</v>
      </c>
      <c r="L22" s="27">
        <f t="shared" si="3"/>
        <v>144276652</v>
      </c>
      <c r="M22" s="27">
        <f t="shared" si="3"/>
        <v>3004.9518083979387</v>
      </c>
      <c r="N22" s="27">
        <f t="shared" si="3"/>
        <v>7927.4207994998405</v>
      </c>
      <c r="O22" s="27">
        <f t="shared" si="3"/>
        <v>48005.229092417532</v>
      </c>
      <c r="P22" s="27">
        <f t="shared" si="3"/>
        <v>26908.435014134229</v>
      </c>
      <c r="Q22" s="27">
        <f t="shared" si="3"/>
        <v>-13169.373278783463</v>
      </c>
      <c r="R22" s="18"/>
    </row>
    <row r="23" spans="1:18">
      <c r="A23" s="103" t="s">
        <v>3</v>
      </c>
      <c r="B23" s="103"/>
      <c r="C23" s="27">
        <f t="shared" si="2"/>
        <v>7301162</v>
      </c>
      <c r="D23" s="95">
        <f t="shared" si="2"/>
        <v>0.75344239998225049</v>
      </c>
      <c r="E23" s="27"/>
      <c r="F23" s="27"/>
      <c r="G23" s="27"/>
      <c r="H23" s="27">
        <f t="shared" si="3"/>
        <v>2088629.7826889995</v>
      </c>
      <c r="I23" s="27">
        <f t="shared" si="3"/>
        <v>562653.73547700001</v>
      </c>
      <c r="J23" s="27">
        <f t="shared" si="3"/>
        <v>1525976.0472120002</v>
      </c>
      <c r="K23" s="27">
        <f t="shared" si="3"/>
        <v>9271909.3472119998</v>
      </c>
      <c r="L23" s="27">
        <f t="shared" si="3"/>
        <v>203348900</v>
      </c>
      <c r="M23" s="27">
        <f t="shared" si="3"/>
        <v>2766.937689247397</v>
      </c>
      <c r="N23" s="27">
        <f t="shared" si="3"/>
        <v>7504.2257283516174</v>
      </c>
      <c r="O23" s="27">
        <f t="shared" si="3"/>
        <v>45596.063451594775</v>
      </c>
      <c r="P23" s="27">
        <f t="shared" si="3"/>
        <v>24499.269373311472</v>
      </c>
      <c r="Q23" s="27">
        <f t="shared" si="3"/>
        <v>-13592.568349931686</v>
      </c>
      <c r="R23" s="18"/>
    </row>
    <row r="24" spans="1:18">
      <c r="A24" s="103" t="s">
        <v>2</v>
      </c>
      <c r="B24" s="103"/>
      <c r="C24" s="27">
        <f t="shared" si="2"/>
        <v>9014425</v>
      </c>
      <c r="D24" s="95">
        <f t="shared" si="2"/>
        <v>0.93024233765255426</v>
      </c>
      <c r="E24" s="27"/>
      <c r="F24" s="27"/>
      <c r="G24" s="27"/>
      <c r="H24" s="27">
        <f t="shared" si="3"/>
        <v>2527073.5596890002</v>
      </c>
      <c r="I24" s="27">
        <f t="shared" si="3"/>
        <v>813391.24847700004</v>
      </c>
      <c r="J24" s="27">
        <f t="shared" si="3"/>
        <v>1713682.311212</v>
      </c>
      <c r="K24" s="27">
        <f t="shared" si="3"/>
        <v>11254904.011211999</v>
      </c>
      <c r="L24" s="27">
        <f t="shared" si="3"/>
        <v>257865867</v>
      </c>
      <c r="M24" s="27">
        <f t="shared" si="3"/>
        <v>3154.3191735298569</v>
      </c>
      <c r="N24" s="27">
        <f t="shared" si="3"/>
        <v>6645.6345353066836</v>
      </c>
      <c r="O24" s="27">
        <f t="shared" si="3"/>
        <v>43646.350492800964</v>
      </c>
      <c r="P24" s="27">
        <f t="shared" si="3"/>
        <v>22549.556414517661</v>
      </c>
      <c r="Q24" s="27">
        <f t="shared" si="3"/>
        <v>-14451.15954297662</v>
      </c>
      <c r="R24" s="18"/>
    </row>
    <row r="25" spans="1:18">
      <c r="A25" s="96"/>
      <c r="B25" s="96"/>
      <c r="C25" s="96"/>
      <c r="D25" s="96"/>
      <c r="E25" s="96"/>
      <c r="F25" s="96"/>
      <c r="G25" s="96"/>
      <c r="H25" s="96"/>
      <c r="I25" s="96"/>
      <c r="J25" s="96"/>
      <c r="K25" s="96"/>
      <c r="L25" s="96"/>
      <c r="M25" s="96"/>
      <c r="N25" s="96"/>
      <c r="O25" s="96"/>
      <c r="P25" s="96"/>
      <c r="Q25" s="96"/>
    </row>
    <row r="26" spans="1:18">
      <c r="A26" s="97"/>
      <c r="B26" s="97"/>
      <c r="C26" s="97"/>
      <c r="D26" s="97"/>
      <c r="E26" s="97"/>
      <c r="F26" s="97"/>
      <c r="G26" s="97"/>
      <c r="H26" s="97"/>
      <c r="I26" s="97"/>
      <c r="J26" s="97"/>
      <c r="K26" s="97"/>
      <c r="L26" s="97"/>
      <c r="M26" s="97"/>
      <c r="N26" s="97"/>
      <c r="O26" s="97"/>
      <c r="P26" s="97"/>
      <c r="Q26" s="97"/>
    </row>
    <row r="27" spans="1:18" ht="106.5" customHeight="1">
      <c r="A27" s="11" t="s">
        <v>45</v>
      </c>
      <c r="B27" s="11" t="s">
        <v>165</v>
      </c>
      <c r="C27" s="9" t="s">
        <v>196</v>
      </c>
      <c r="D27" s="9" t="s">
        <v>164</v>
      </c>
      <c r="E27" s="9" t="s">
        <v>197</v>
      </c>
      <c r="F27" s="9" t="s">
        <v>198</v>
      </c>
      <c r="G27" s="9" t="s">
        <v>164</v>
      </c>
      <c r="H27" s="51" t="s">
        <v>185</v>
      </c>
      <c r="I27" s="51" t="s">
        <v>186</v>
      </c>
      <c r="J27" s="51" t="s">
        <v>192</v>
      </c>
      <c r="K27" s="51" t="s">
        <v>187</v>
      </c>
      <c r="L27" s="50" t="s">
        <v>167</v>
      </c>
      <c r="M27" s="51" t="s">
        <v>188</v>
      </c>
      <c r="N27" s="51" t="s">
        <v>193</v>
      </c>
      <c r="O27" s="51" t="s">
        <v>189</v>
      </c>
      <c r="P27" s="51" t="s">
        <v>190</v>
      </c>
      <c r="Q27" s="51" t="s">
        <v>195</v>
      </c>
      <c r="R27" s="61" t="s">
        <v>199</v>
      </c>
    </row>
    <row r="28" spans="1:18">
      <c r="A28" s="14">
        <v>1</v>
      </c>
      <c r="B28" s="15" t="s">
        <v>157</v>
      </c>
      <c r="C28" s="16">
        <v>27034</v>
      </c>
      <c r="D28" s="17">
        <f t="shared" ref="D28:D59" si="4">C28/$C$78</f>
        <v>2.7897698806190249E-3</v>
      </c>
      <c r="E28" s="17"/>
      <c r="F28" s="17"/>
      <c r="G28" s="17"/>
      <c r="H28" s="16">
        <v>58341.968999999997</v>
      </c>
      <c r="I28" s="16">
        <v>7292.732</v>
      </c>
      <c r="J28" s="16">
        <f t="shared" ref="J28:J59" si="5">H28-I28</f>
        <v>51049.236999999994</v>
      </c>
      <c r="K28" s="16">
        <f>C28+J28</f>
        <v>78083.236999999994</v>
      </c>
      <c r="L28" s="16">
        <v>626932</v>
      </c>
      <c r="M28" s="16">
        <f t="shared" ref="M28:M59" si="6">I28*1000000/L28</f>
        <v>11632.41308467266</v>
      </c>
      <c r="N28" s="16">
        <f t="shared" ref="N28:N59" si="7">J28*1000000/L28</f>
        <v>81427.071835541967</v>
      </c>
      <c r="O28" s="16">
        <f t="shared" ref="O28:O59" si="8">K28*1000000/L28</f>
        <v>124548.17587872369</v>
      </c>
      <c r="P28" s="16">
        <f t="shared" ref="P28:P59" si="9">O28+$E$87</f>
        <v>103451.38180044039</v>
      </c>
      <c r="Q28" s="16">
        <f t="shared" ref="Q28:Q59" si="10">N28+$E$87</f>
        <v>60330.277757258664</v>
      </c>
      <c r="R28" s="84"/>
    </row>
    <row r="29" spans="1:18">
      <c r="A29" s="14">
        <v>2</v>
      </c>
      <c r="B29" s="15" t="s">
        <v>152</v>
      </c>
      <c r="C29" s="16">
        <v>41472</v>
      </c>
      <c r="D29" s="17">
        <f t="shared" si="4"/>
        <v>4.2796972881938367E-3</v>
      </c>
      <c r="E29" s="98">
        <v>2002</v>
      </c>
      <c r="F29" s="16">
        <v>45757.9</v>
      </c>
      <c r="G29" s="17">
        <f>F29/D104</f>
        <v>4.1683352311546349E-3</v>
      </c>
      <c r="H29" s="16">
        <v>6778.4889999999996</v>
      </c>
      <c r="I29" s="16">
        <v>2176.951</v>
      </c>
      <c r="J29" s="16">
        <f t="shared" si="5"/>
        <v>4601.5379999999996</v>
      </c>
      <c r="K29" s="16">
        <f>F29+J29</f>
        <v>50359.438000000002</v>
      </c>
      <c r="L29" s="16">
        <v>806169</v>
      </c>
      <c r="M29" s="16">
        <f t="shared" si="6"/>
        <v>2700.3655561054816</v>
      </c>
      <c r="N29" s="16">
        <f t="shared" si="7"/>
        <v>5707.9073990689294</v>
      </c>
      <c r="O29" s="16">
        <f t="shared" si="8"/>
        <v>62467.594263733779</v>
      </c>
      <c r="P29" s="16">
        <f t="shared" si="9"/>
        <v>41370.800185450476</v>
      </c>
      <c r="Q29" s="16">
        <f t="shared" si="10"/>
        <v>-15388.886679214374</v>
      </c>
      <c r="R29" s="84"/>
    </row>
    <row r="30" spans="1:18">
      <c r="A30" s="14">
        <v>3</v>
      </c>
      <c r="B30" s="15" t="s">
        <v>201</v>
      </c>
      <c r="C30" s="16">
        <v>777157</v>
      </c>
      <c r="D30" s="17">
        <f t="shared" si="4"/>
        <v>8.0198608830074694E-2</v>
      </c>
      <c r="E30" s="98">
        <v>2003</v>
      </c>
      <c r="F30" s="16">
        <v>1049993</v>
      </c>
      <c r="G30" s="17">
        <f>F30/D105</f>
        <v>9.1218865924748274E-2</v>
      </c>
      <c r="H30" s="16">
        <v>112723</v>
      </c>
      <c r="I30" s="16">
        <v>67827</v>
      </c>
      <c r="J30" s="16">
        <f t="shared" si="5"/>
        <v>44896</v>
      </c>
      <c r="K30" s="16">
        <f>F30+J30</f>
        <v>1094889</v>
      </c>
      <c r="L30" s="16">
        <v>19190115</v>
      </c>
      <c r="M30" s="16">
        <f t="shared" si="6"/>
        <v>3534.475952853852</v>
      </c>
      <c r="N30" s="16">
        <f t="shared" si="7"/>
        <v>2339.5378297628754</v>
      </c>
      <c r="O30" s="16">
        <f t="shared" si="8"/>
        <v>57054.843079366641</v>
      </c>
      <c r="P30" s="16">
        <f t="shared" si="9"/>
        <v>35958.049001083338</v>
      </c>
      <c r="Q30" s="16">
        <f t="shared" si="10"/>
        <v>-18757.256248520429</v>
      </c>
      <c r="R30" s="84"/>
    </row>
    <row r="31" spans="1:18">
      <c r="A31" s="14">
        <v>4</v>
      </c>
      <c r="B31" s="15" t="s">
        <v>97</v>
      </c>
      <c r="C31" s="16">
        <v>160436</v>
      </c>
      <c r="D31" s="17">
        <f t="shared" si="4"/>
        <v>1.6556170768920391E-2</v>
      </c>
      <c r="E31" s="17"/>
      <c r="F31" s="17"/>
      <c r="G31" s="17"/>
      <c r="H31" s="16">
        <v>54154</v>
      </c>
      <c r="I31" s="16">
        <v>21064</v>
      </c>
      <c r="J31" s="16">
        <f t="shared" si="5"/>
        <v>33090</v>
      </c>
      <c r="K31" s="16">
        <f t="shared" ref="K31:K37" si="11">C31+J31</f>
        <v>193526</v>
      </c>
      <c r="L31" s="16">
        <v>3405565</v>
      </c>
      <c r="M31" s="16">
        <f t="shared" si="6"/>
        <v>6185.1704489563408</v>
      </c>
      <c r="N31" s="16">
        <f t="shared" si="7"/>
        <v>9716.4493997324971</v>
      </c>
      <c r="O31" s="16">
        <f t="shared" si="8"/>
        <v>56826.400318302542</v>
      </c>
      <c r="P31" s="16">
        <f t="shared" si="9"/>
        <v>35729.606240019239</v>
      </c>
      <c r="Q31" s="16">
        <f t="shared" si="10"/>
        <v>-11380.344678550806</v>
      </c>
      <c r="R31" s="84"/>
    </row>
    <row r="32" spans="1:18">
      <c r="A32" s="14">
        <v>5</v>
      </c>
      <c r="B32" s="15" t="s">
        <v>51</v>
      </c>
      <c r="C32" s="16">
        <v>344824</v>
      </c>
      <c r="D32" s="17">
        <f t="shared" si="4"/>
        <v>3.5584064855906435E-2</v>
      </c>
      <c r="E32" s="17"/>
      <c r="F32" s="17"/>
      <c r="G32" s="17"/>
      <c r="H32" s="16">
        <v>125635</v>
      </c>
      <c r="I32" s="16">
        <v>20320</v>
      </c>
      <c r="J32" s="16">
        <f t="shared" si="5"/>
        <v>105315</v>
      </c>
      <c r="K32" s="16">
        <f t="shared" si="11"/>
        <v>450139</v>
      </c>
      <c r="L32" s="16">
        <v>8414350</v>
      </c>
      <c r="M32" s="16">
        <f t="shared" si="6"/>
        <v>2414.9221270805233</v>
      </c>
      <c r="N32" s="16">
        <f t="shared" si="7"/>
        <v>12516.11829790774</v>
      </c>
      <c r="O32" s="16">
        <f t="shared" si="8"/>
        <v>53496.586189069865</v>
      </c>
      <c r="P32" s="16">
        <f t="shared" si="9"/>
        <v>32399.792110786562</v>
      </c>
      <c r="Q32" s="16">
        <f t="shared" si="10"/>
        <v>-8580.6757803755627</v>
      </c>
      <c r="R32" s="63"/>
    </row>
    <row r="33" spans="1:18">
      <c r="A33" s="14">
        <v>6</v>
      </c>
      <c r="B33" s="15" t="s">
        <v>71</v>
      </c>
      <c r="C33" s="16">
        <v>274949</v>
      </c>
      <c r="D33" s="17">
        <f t="shared" si="4"/>
        <v>2.8373323921961981E-2</v>
      </c>
      <c r="E33" s="17"/>
      <c r="F33" s="17"/>
      <c r="G33" s="17"/>
      <c r="H33" s="16">
        <v>78705</v>
      </c>
      <c r="I33" s="16">
        <v>29445</v>
      </c>
      <c r="J33" s="16">
        <f t="shared" si="5"/>
        <v>49260</v>
      </c>
      <c r="K33" s="16">
        <f t="shared" si="11"/>
        <v>324209</v>
      </c>
      <c r="L33" s="16">
        <v>6349097</v>
      </c>
      <c r="M33" s="16">
        <f t="shared" si="6"/>
        <v>4637.6673722263185</v>
      </c>
      <c r="N33" s="16">
        <f t="shared" si="7"/>
        <v>7758.5836222064336</v>
      </c>
      <c r="O33" s="16">
        <f t="shared" si="8"/>
        <v>51063.79694624291</v>
      </c>
      <c r="P33" s="16">
        <f t="shared" si="9"/>
        <v>29967.002867959607</v>
      </c>
      <c r="Q33" s="16">
        <f t="shared" si="10"/>
        <v>-13338.210456076869</v>
      </c>
      <c r="R33" s="84"/>
    </row>
    <row r="34" spans="1:18">
      <c r="A34" s="14">
        <v>7</v>
      </c>
      <c r="B34" s="15" t="s">
        <v>84</v>
      </c>
      <c r="C34" s="16">
        <v>185093</v>
      </c>
      <c r="D34" s="17">
        <f t="shared" si="4"/>
        <v>1.9100646464208667E-2</v>
      </c>
      <c r="E34" s="17"/>
      <c r="F34" s="17"/>
      <c r="G34" s="17"/>
      <c r="H34" s="16">
        <v>67933</v>
      </c>
      <c r="I34" s="16">
        <v>13125</v>
      </c>
      <c r="J34" s="16">
        <f t="shared" si="5"/>
        <v>54808</v>
      </c>
      <c r="K34" s="16">
        <f t="shared" si="11"/>
        <v>239901</v>
      </c>
      <c r="L34" s="16">
        <v>4919479</v>
      </c>
      <c r="M34" s="16">
        <f t="shared" si="6"/>
        <v>2667.9654491867941</v>
      </c>
      <c r="N34" s="16">
        <f t="shared" si="7"/>
        <v>11141.017168687986</v>
      </c>
      <c r="O34" s="16">
        <f t="shared" si="8"/>
        <v>48765.529845741796</v>
      </c>
      <c r="P34" s="16">
        <f t="shared" si="9"/>
        <v>27668.735767458493</v>
      </c>
      <c r="Q34" s="16">
        <f t="shared" si="10"/>
        <v>-9955.7769095953172</v>
      </c>
      <c r="R34" s="84"/>
    </row>
    <row r="35" spans="1:18">
      <c r="A35" s="14">
        <v>8</v>
      </c>
      <c r="B35" s="15" t="s">
        <v>46</v>
      </c>
      <c r="C35" s="16">
        <v>1287145</v>
      </c>
      <c r="D35" s="17">
        <f t="shared" si="4"/>
        <v>0.132826749759169</v>
      </c>
      <c r="E35" s="17"/>
      <c r="F35" s="17"/>
      <c r="G35" s="17"/>
      <c r="H35" s="16">
        <v>471272</v>
      </c>
      <c r="I35" s="16">
        <v>121498</v>
      </c>
      <c r="J35" s="16">
        <f t="shared" si="5"/>
        <v>349774</v>
      </c>
      <c r="K35" s="16">
        <f t="shared" si="11"/>
        <v>1636919</v>
      </c>
      <c r="L35" s="16">
        <v>33871648</v>
      </c>
      <c r="M35" s="16">
        <f t="shared" si="6"/>
        <v>3587.0117686626882</v>
      </c>
      <c r="N35" s="16">
        <f t="shared" si="7"/>
        <v>10326.45355785464</v>
      </c>
      <c r="O35" s="16">
        <f t="shared" si="8"/>
        <v>48327.114169348948</v>
      </c>
      <c r="P35" s="16">
        <f t="shared" si="9"/>
        <v>27230.320091065645</v>
      </c>
      <c r="Q35" s="16">
        <f t="shared" si="10"/>
        <v>-10770.340520428663</v>
      </c>
      <c r="R35" s="64"/>
    </row>
    <row r="36" spans="1:18">
      <c r="A36" s="14">
        <v>9</v>
      </c>
      <c r="B36" s="15" t="s">
        <v>133</v>
      </c>
      <c r="C36" s="16">
        <v>50725</v>
      </c>
      <c r="D36" s="17">
        <f t="shared" si="4"/>
        <v>5.234559339883111E-3</v>
      </c>
      <c r="E36" s="17"/>
      <c r="F36" s="17"/>
      <c r="G36" s="17"/>
      <c r="H36" s="16">
        <v>44388.883000000002</v>
      </c>
      <c r="I36" s="16">
        <v>7406.9059999999999</v>
      </c>
      <c r="J36" s="16">
        <f t="shared" si="5"/>
        <v>36981.976999999999</v>
      </c>
      <c r="K36" s="16">
        <f t="shared" si="11"/>
        <v>87706.976999999999</v>
      </c>
      <c r="L36" s="16">
        <v>1819046</v>
      </c>
      <c r="M36" s="16">
        <f t="shared" si="6"/>
        <v>4071.8629435429339</v>
      </c>
      <c r="N36" s="16">
        <f t="shared" si="7"/>
        <v>20330.424299330527</v>
      </c>
      <c r="O36" s="16">
        <f t="shared" si="8"/>
        <v>48215.920323070444</v>
      </c>
      <c r="P36" s="16">
        <f t="shared" si="9"/>
        <v>27119.126244787141</v>
      </c>
      <c r="Q36" s="16">
        <f t="shared" si="10"/>
        <v>-766.36977895277596</v>
      </c>
      <c r="R36" s="84"/>
    </row>
    <row r="37" spans="1:18">
      <c r="A37" s="14">
        <v>10</v>
      </c>
      <c r="B37" s="15" t="s">
        <v>93</v>
      </c>
      <c r="C37" s="16">
        <v>175737</v>
      </c>
      <c r="D37" s="17">
        <f t="shared" si="4"/>
        <v>1.8135155341804599E-2</v>
      </c>
      <c r="E37" s="17"/>
      <c r="F37" s="17"/>
      <c r="G37" s="17"/>
      <c r="H37" s="16">
        <v>97020</v>
      </c>
      <c r="I37" s="16">
        <v>17760</v>
      </c>
      <c r="J37" s="16">
        <f t="shared" si="5"/>
        <v>79260</v>
      </c>
      <c r="K37" s="16">
        <f t="shared" si="11"/>
        <v>254997</v>
      </c>
      <c r="L37" s="16">
        <v>5363675</v>
      </c>
      <c r="M37" s="16">
        <f t="shared" si="6"/>
        <v>3311.1625890830446</v>
      </c>
      <c r="N37" s="16">
        <f t="shared" si="7"/>
        <v>14777.181689792913</v>
      </c>
      <c r="O37" s="16">
        <f t="shared" si="8"/>
        <v>47541.471099572591</v>
      </c>
      <c r="P37" s="16">
        <f t="shared" si="9"/>
        <v>26444.677021289288</v>
      </c>
      <c r="Q37" s="16">
        <f t="shared" si="10"/>
        <v>-6319.61238849039</v>
      </c>
      <c r="R37" s="84" t="s">
        <v>204</v>
      </c>
    </row>
    <row r="38" spans="1:18">
      <c r="A38" s="14">
        <v>11</v>
      </c>
      <c r="B38" s="15" t="s">
        <v>160</v>
      </c>
      <c r="C38" s="16">
        <v>17331</v>
      </c>
      <c r="D38" s="17">
        <f t="shared" si="4"/>
        <v>1.7884701413408417E-3</v>
      </c>
      <c r="E38" s="98">
        <v>2002</v>
      </c>
      <c r="F38" s="16">
        <v>19115.599999999999</v>
      </c>
      <c r="G38" s="17">
        <f>F38/D104</f>
        <v>1.7413436574812114E-3</v>
      </c>
      <c r="H38" s="16">
        <v>5517.0292840000002</v>
      </c>
      <c r="I38" s="16">
        <v>1008.020337</v>
      </c>
      <c r="J38" s="16">
        <f t="shared" si="5"/>
        <v>4509.0089470000003</v>
      </c>
      <c r="K38" s="16">
        <f>F38+J38</f>
        <v>23624.608947000001</v>
      </c>
      <c r="L38" s="16">
        <v>500017</v>
      </c>
      <c r="M38" s="16">
        <f t="shared" si="6"/>
        <v>2015.9721309475478</v>
      </c>
      <c r="N38" s="16">
        <f t="shared" si="7"/>
        <v>9017.7112918160783</v>
      </c>
      <c r="O38" s="16">
        <f t="shared" si="8"/>
        <v>47247.611475209844</v>
      </c>
      <c r="P38" s="16">
        <f t="shared" si="9"/>
        <v>26150.817396926541</v>
      </c>
      <c r="Q38" s="16">
        <f t="shared" si="10"/>
        <v>-12079.082786467225</v>
      </c>
      <c r="R38" s="64"/>
    </row>
    <row r="39" spans="1:18">
      <c r="A39" s="14">
        <v>12</v>
      </c>
      <c r="B39" s="15" t="s">
        <v>120</v>
      </c>
      <c r="C39" s="16">
        <v>73719</v>
      </c>
      <c r="D39" s="17">
        <f t="shared" si="4"/>
        <v>7.6074219808150434E-3</v>
      </c>
      <c r="E39" s="17"/>
      <c r="F39" s="17"/>
      <c r="G39" s="17"/>
      <c r="H39" s="16">
        <v>26677.23</v>
      </c>
      <c r="I39" s="16">
        <v>8799.2099999999991</v>
      </c>
      <c r="J39" s="16">
        <f t="shared" si="5"/>
        <v>17878.02</v>
      </c>
      <c r="K39" s="16">
        <f>C39+J39</f>
        <v>91597.02</v>
      </c>
      <c r="L39" s="16">
        <v>1998257</v>
      </c>
      <c r="M39" s="16">
        <f t="shared" si="6"/>
        <v>4403.4426002260971</v>
      </c>
      <c r="N39" s="16">
        <f t="shared" si="7"/>
        <v>8946.8071424246227</v>
      </c>
      <c r="O39" s="16">
        <f t="shared" si="8"/>
        <v>45838.458216335537</v>
      </c>
      <c r="P39" s="16">
        <f t="shared" si="9"/>
        <v>24741.664138052234</v>
      </c>
      <c r="Q39" s="16">
        <f t="shared" si="10"/>
        <v>-12149.98693585868</v>
      </c>
      <c r="R39" s="84"/>
    </row>
    <row r="40" spans="1:18">
      <c r="A40" s="14">
        <v>13</v>
      </c>
      <c r="B40" s="15" t="s">
        <v>80</v>
      </c>
      <c r="C40" s="16">
        <v>180367</v>
      </c>
      <c r="D40" s="17">
        <f t="shared" si="4"/>
        <v>1.8612947549663816E-2</v>
      </c>
      <c r="E40" s="17"/>
      <c r="F40" s="17"/>
      <c r="G40" s="17"/>
      <c r="H40" s="16">
        <v>68424</v>
      </c>
      <c r="I40" s="16">
        <v>16705</v>
      </c>
      <c r="J40" s="16">
        <f t="shared" si="5"/>
        <v>51719</v>
      </c>
      <c r="K40" s="16">
        <f>C40+J40</f>
        <v>232086</v>
      </c>
      <c r="L40" s="16">
        <v>5296486</v>
      </c>
      <c r="M40" s="16">
        <f t="shared" si="6"/>
        <v>3153.9779393356275</v>
      </c>
      <c r="N40" s="16">
        <f t="shared" si="7"/>
        <v>9764.7761175994801</v>
      </c>
      <c r="O40" s="16">
        <f t="shared" si="8"/>
        <v>43818.864054393802</v>
      </c>
      <c r="P40" s="16">
        <f t="shared" si="9"/>
        <v>22722.069976110499</v>
      </c>
      <c r="Q40" s="16">
        <f t="shared" si="10"/>
        <v>-11332.017960683823</v>
      </c>
      <c r="R40" s="84"/>
    </row>
    <row r="41" spans="1:18">
      <c r="A41" s="14">
        <v>14</v>
      </c>
      <c r="B41" s="15" t="s">
        <v>70</v>
      </c>
      <c r="C41" s="16">
        <v>273698</v>
      </c>
      <c r="D41" s="17">
        <f t="shared" si="4"/>
        <v>2.8244227150464814E-2</v>
      </c>
      <c r="E41" s="17"/>
      <c r="F41" s="17"/>
      <c r="G41" s="17"/>
      <c r="H41" s="16">
        <v>89048</v>
      </c>
      <c r="I41" s="16">
        <v>16193</v>
      </c>
      <c r="J41" s="16">
        <f t="shared" si="5"/>
        <v>72855</v>
      </c>
      <c r="K41" s="16">
        <f>C41+J41</f>
        <v>346553</v>
      </c>
      <c r="L41" s="16">
        <v>8049313</v>
      </c>
      <c r="M41" s="16">
        <f t="shared" si="6"/>
        <v>2011.7244788468283</v>
      </c>
      <c r="N41" s="16">
        <f t="shared" si="7"/>
        <v>9051.0829930454929</v>
      </c>
      <c r="O41" s="16">
        <f t="shared" si="8"/>
        <v>43053.736387192301</v>
      </c>
      <c r="P41" s="16">
        <f t="shared" si="9"/>
        <v>21956.942308908998</v>
      </c>
      <c r="Q41" s="16">
        <f t="shared" si="10"/>
        <v>-12045.71108523781</v>
      </c>
      <c r="R41" s="84"/>
    </row>
    <row r="42" spans="1:18">
      <c r="A42" s="14">
        <v>15</v>
      </c>
      <c r="B42" s="15" t="s">
        <v>202</v>
      </c>
      <c r="C42" s="16">
        <v>464194</v>
      </c>
      <c r="D42" s="17">
        <f t="shared" si="4"/>
        <v>4.7902435450324313E-2</v>
      </c>
      <c r="E42" s="17"/>
      <c r="F42" s="17"/>
      <c r="G42" s="17"/>
      <c r="H42" s="16">
        <v>105287</v>
      </c>
      <c r="I42" s="16">
        <v>39910</v>
      </c>
      <c r="J42" s="16">
        <f t="shared" si="5"/>
        <v>65377</v>
      </c>
      <c r="K42" s="16">
        <f>C42+J42</f>
        <v>529571</v>
      </c>
      <c r="L42" s="16">
        <v>12419293</v>
      </c>
      <c r="M42" s="16">
        <f t="shared" si="6"/>
        <v>3213.5484684997768</v>
      </c>
      <c r="N42" s="16">
        <f t="shared" si="7"/>
        <v>5264.1482892786244</v>
      </c>
      <c r="O42" s="16">
        <f t="shared" si="8"/>
        <v>42640.994137105874</v>
      </c>
      <c r="P42" s="16">
        <f t="shared" si="9"/>
        <v>21544.200058822571</v>
      </c>
      <c r="Q42" s="16">
        <f t="shared" si="10"/>
        <v>-15832.645789004679</v>
      </c>
      <c r="R42" s="84"/>
    </row>
    <row r="43" spans="1:18">
      <c r="A43" s="14">
        <v>16</v>
      </c>
      <c r="B43" s="15" t="s">
        <v>90</v>
      </c>
      <c r="C43" s="16">
        <v>171862</v>
      </c>
      <c r="D43" s="17">
        <f t="shared" si="4"/>
        <v>1.7735275254233442E-2</v>
      </c>
      <c r="E43" s="17"/>
      <c r="F43" s="17"/>
      <c r="G43" s="17"/>
      <c r="H43" s="16">
        <v>15118</v>
      </c>
      <c r="I43" s="16">
        <v>4678</v>
      </c>
      <c r="J43" s="16">
        <f t="shared" si="5"/>
        <v>10440</v>
      </c>
      <c r="K43" s="16">
        <f>C43+J43</f>
        <v>182302</v>
      </c>
      <c r="L43" s="16">
        <v>4301261</v>
      </c>
      <c r="M43" s="16">
        <f t="shared" si="6"/>
        <v>1087.5880352296688</v>
      </c>
      <c r="N43" s="16">
        <f t="shared" si="7"/>
        <v>2427.1951876438097</v>
      </c>
      <c r="O43" s="16">
        <f t="shared" si="8"/>
        <v>42383.384779486762</v>
      </c>
      <c r="P43" s="16">
        <f t="shared" si="9"/>
        <v>21286.590701203459</v>
      </c>
      <c r="Q43" s="16">
        <f t="shared" si="10"/>
        <v>-18669.598890639492</v>
      </c>
      <c r="R43" s="84"/>
    </row>
    <row r="44" spans="1:18">
      <c r="A44" s="14">
        <v>17</v>
      </c>
      <c r="B44" s="15" t="s">
        <v>77</v>
      </c>
      <c r="C44" s="16">
        <v>260743</v>
      </c>
      <c r="D44" s="17">
        <f t="shared" si="4"/>
        <v>2.6907337722210784E-2</v>
      </c>
      <c r="E44" s="98">
        <v>2002</v>
      </c>
      <c r="F44" s="16">
        <v>293275.90000000002</v>
      </c>
      <c r="G44" s="17">
        <f>F44/D104</f>
        <v>2.6716092006376681E-2</v>
      </c>
      <c r="H44" s="16">
        <v>20086</v>
      </c>
      <c r="I44" s="16">
        <v>8819</v>
      </c>
      <c r="J44" s="16">
        <f t="shared" si="5"/>
        <v>11267</v>
      </c>
      <c r="K44" s="16">
        <f>F44+J44</f>
        <v>304542.90000000002</v>
      </c>
      <c r="L44" s="16">
        <v>7287515</v>
      </c>
      <c r="M44" s="16">
        <f t="shared" si="6"/>
        <v>1210.1518830492973</v>
      </c>
      <c r="N44" s="16">
        <f t="shared" si="7"/>
        <v>1546.0688588634123</v>
      </c>
      <c r="O44" s="16">
        <f t="shared" si="8"/>
        <v>41789.677276822069</v>
      </c>
      <c r="P44" s="16">
        <f t="shared" si="9"/>
        <v>20692.883198538766</v>
      </c>
      <c r="Q44" s="16">
        <f t="shared" si="10"/>
        <v>-19550.725219419892</v>
      </c>
      <c r="R44" s="84"/>
    </row>
    <row r="45" spans="1:18">
      <c r="A45" s="14">
        <v>18</v>
      </c>
      <c r="B45" s="15" t="s">
        <v>79</v>
      </c>
      <c r="C45" s="16">
        <v>337235</v>
      </c>
      <c r="D45" s="17">
        <f t="shared" si="4"/>
        <v>3.4800919053434812E-2</v>
      </c>
      <c r="E45" s="17"/>
      <c r="F45" s="17"/>
      <c r="G45" s="17"/>
      <c r="H45" s="16">
        <v>83485</v>
      </c>
      <c r="I45" s="16">
        <v>13418</v>
      </c>
      <c r="J45" s="16">
        <f t="shared" si="5"/>
        <v>70067</v>
      </c>
      <c r="K45" s="16">
        <f>C45+J45</f>
        <v>407302</v>
      </c>
      <c r="L45" s="16">
        <v>9938444</v>
      </c>
      <c r="M45" s="16">
        <f t="shared" si="6"/>
        <v>1350.1107416814946</v>
      </c>
      <c r="N45" s="16">
        <f t="shared" si="7"/>
        <v>7050.0975806675569</v>
      </c>
      <c r="O45" s="16">
        <f t="shared" si="8"/>
        <v>40982.47170281384</v>
      </c>
      <c r="P45" s="16">
        <f t="shared" si="9"/>
        <v>19885.677624530537</v>
      </c>
      <c r="Q45" s="16">
        <f t="shared" si="10"/>
        <v>-14046.696497615747</v>
      </c>
      <c r="R45" s="64"/>
    </row>
    <row r="46" spans="1:18">
      <c r="A46" s="14">
        <v>19</v>
      </c>
      <c r="B46" s="15" t="s">
        <v>52</v>
      </c>
      <c r="C46" s="16">
        <v>290887</v>
      </c>
      <c r="D46" s="17">
        <f t="shared" si="4"/>
        <v>3.0018043621499825E-2</v>
      </c>
      <c r="E46" s="98">
        <v>2002</v>
      </c>
      <c r="F46" s="16">
        <v>326929.59999999998</v>
      </c>
      <c r="G46" s="17">
        <f>F46/D104</f>
        <v>2.9781790025051238E-2</v>
      </c>
      <c r="H46" s="16">
        <v>31350</v>
      </c>
      <c r="I46" s="16">
        <v>10079</v>
      </c>
      <c r="J46" s="16">
        <f t="shared" si="5"/>
        <v>21271</v>
      </c>
      <c r="K46" s="16">
        <f>F46+J46</f>
        <v>348200.6</v>
      </c>
      <c r="L46" s="16">
        <v>8508453</v>
      </c>
      <c r="M46" s="16">
        <f t="shared" si="6"/>
        <v>1184.5866692805378</v>
      </c>
      <c r="N46" s="16">
        <f t="shared" si="7"/>
        <v>2499.9844272513465</v>
      </c>
      <c r="O46" s="16">
        <f t="shared" si="8"/>
        <v>40924.078677992344</v>
      </c>
      <c r="P46" s="16">
        <f t="shared" si="9"/>
        <v>19827.284599709041</v>
      </c>
      <c r="Q46" s="16">
        <f t="shared" si="10"/>
        <v>-18596.809651031956</v>
      </c>
      <c r="R46" s="84" t="s">
        <v>204</v>
      </c>
    </row>
    <row r="47" spans="1:18">
      <c r="A47" s="14">
        <v>20</v>
      </c>
      <c r="B47" s="15" t="s">
        <v>149</v>
      </c>
      <c r="C47" s="16">
        <v>40202</v>
      </c>
      <c r="D47" s="17">
        <f t="shared" si="4"/>
        <v>4.148639814331806E-3</v>
      </c>
      <c r="E47" s="17"/>
      <c r="F47" s="17"/>
      <c r="G47" s="17"/>
      <c r="H47" s="16">
        <v>15342.518</v>
      </c>
      <c r="I47" s="16">
        <v>6019.567</v>
      </c>
      <c r="J47" s="16">
        <f t="shared" si="5"/>
        <v>9322.9510000000009</v>
      </c>
      <c r="K47" s="16">
        <f>C47+J47</f>
        <v>49524.951000000001</v>
      </c>
      <c r="L47" s="16">
        <v>1211537</v>
      </c>
      <c r="M47" s="16">
        <f t="shared" si="6"/>
        <v>4968.5374858547448</v>
      </c>
      <c r="N47" s="16">
        <f t="shared" si="7"/>
        <v>7695.1434417603423</v>
      </c>
      <c r="O47" s="16">
        <f t="shared" si="8"/>
        <v>40877.78664621881</v>
      </c>
      <c r="P47" s="16">
        <f t="shared" si="9"/>
        <v>19780.992567935507</v>
      </c>
      <c r="Q47" s="16">
        <f t="shared" si="10"/>
        <v>-13401.650636522962</v>
      </c>
      <c r="R47" s="84" t="s">
        <v>204</v>
      </c>
    </row>
    <row r="48" spans="1:18">
      <c r="A48" s="14">
        <v>21</v>
      </c>
      <c r="B48" s="15" t="s">
        <v>200</v>
      </c>
      <c r="C48" s="16">
        <v>727233</v>
      </c>
      <c r="D48" s="17">
        <f t="shared" si="4"/>
        <v>7.5046708574099841E-2</v>
      </c>
      <c r="E48" s="98">
        <v>2002</v>
      </c>
      <c r="F48" s="16">
        <v>787257.8</v>
      </c>
      <c r="G48" s="17">
        <f>F48/D104</f>
        <v>7.1715581872010936E-2</v>
      </c>
      <c r="H48" s="16">
        <v>133231</v>
      </c>
      <c r="I48" s="16">
        <v>38359</v>
      </c>
      <c r="J48" s="16">
        <f t="shared" si="5"/>
        <v>94872</v>
      </c>
      <c r="K48" s="16">
        <f>F48+J48</f>
        <v>882129.8</v>
      </c>
      <c r="L48" s="16">
        <v>21674681</v>
      </c>
      <c r="M48" s="16">
        <f t="shared" si="6"/>
        <v>1769.760763722428</v>
      </c>
      <c r="N48" s="16">
        <f t="shared" si="7"/>
        <v>4377.0886408893402</v>
      </c>
      <c r="O48" s="16">
        <f t="shared" si="8"/>
        <v>40698.628967134508</v>
      </c>
      <c r="P48" s="16">
        <f t="shared" si="9"/>
        <v>19601.834888851205</v>
      </c>
      <c r="Q48" s="16">
        <f t="shared" si="10"/>
        <v>-16719.705437393961</v>
      </c>
      <c r="R48" s="84" t="s">
        <v>204</v>
      </c>
    </row>
    <row r="49" spans="1:18">
      <c r="A49" s="14">
        <v>22</v>
      </c>
      <c r="B49" s="15" t="s">
        <v>127</v>
      </c>
      <c r="C49" s="16">
        <v>55478</v>
      </c>
      <c r="D49" s="17">
        <f t="shared" si="4"/>
        <v>5.7250445156832967E-3</v>
      </c>
      <c r="E49" s="98">
        <v>2002</v>
      </c>
      <c r="F49" s="16">
        <v>61604.4</v>
      </c>
      <c r="G49" s="17">
        <f>F49/D104</f>
        <v>5.6118788430881347E-3</v>
      </c>
      <c r="H49" s="16">
        <v>9658.3829999999998</v>
      </c>
      <c r="I49" s="16">
        <v>1308.914</v>
      </c>
      <c r="J49" s="16">
        <f t="shared" si="5"/>
        <v>8349.4689999999991</v>
      </c>
      <c r="K49" s="16">
        <f>F49+J49</f>
        <v>69953.869000000006</v>
      </c>
      <c r="L49" s="16">
        <v>1728292</v>
      </c>
      <c r="M49" s="16">
        <f t="shared" si="6"/>
        <v>757.3454022815589</v>
      </c>
      <c r="N49" s="16">
        <f t="shared" si="7"/>
        <v>4831.0522758885645</v>
      </c>
      <c r="O49" s="16">
        <f t="shared" si="8"/>
        <v>40475.723430994301</v>
      </c>
      <c r="P49" s="16">
        <f t="shared" si="9"/>
        <v>19378.929352710999</v>
      </c>
      <c r="Q49" s="16">
        <f t="shared" si="10"/>
        <v>-16265.741802394739</v>
      </c>
      <c r="R49" s="84"/>
    </row>
    <row r="50" spans="1:18">
      <c r="A50" s="14">
        <v>23</v>
      </c>
      <c r="B50" s="15" t="s">
        <v>95</v>
      </c>
      <c r="C50" s="16">
        <v>176708</v>
      </c>
      <c r="D50" s="17">
        <f t="shared" si="4"/>
        <v>1.8235357552135335E-2</v>
      </c>
      <c r="E50" s="98">
        <v>2002</v>
      </c>
      <c r="F50" s="16">
        <v>196597.6</v>
      </c>
      <c r="G50" s="17">
        <f>F50/D104</f>
        <v>1.7909141425643361E-2</v>
      </c>
      <c r="H50" s="16">
        <v>32366</v>
      </c>
      <c r="I50" s="16">
        <v>4288</v>
      </c>
      <c r="J50" s="16">
        <f t="shared" si="5"/>
        <v>28078</v>
      </c>
      <c r="K50" s="16">
        <f>F50+J50</f>
        <v>224675.6</v>
      </c>
      <c r="L50" s="16">
        <v>5675211</v>
      </c>
      <c r="M50" s="16">
        <f t="shared" si="6"/>
        <v>755.56662122342232</v>
      </c>
      <c r="N50" s="16">
        <f t="shared" si="7"/>
        <v>4947.4812478337808</v>
      </c>
      <c r="O50" s="16">
        <f t="shared" si="8"/>
        <v>39588.942155630866</v>
      </c>
      <c r="P50" s="16">
        <f t="shared" si="9"/>
        <v>18492.148077347563</v>
      </c>
      <c r="Q50" s="16">
        <f t="shared" si="10"/>
        <v>-16149.312830449522</v>
      </c>
      <c r="R50" s="84" t="s">
        <v>204</v>
      </c>
    </row>
    <row r="51" spans="1:18">
      <c r="A51" s="14">
        <v>24</v>
      </c>
      <c r="B51" s="15" t="s">
        <v>155</v>
      </c>
      <c r="C51" s="16">
        <v>33609</v>
      </c>
      <c r="D51" s="17">
        <f t="shared" si="4"/>
        <v>3.4682760937236371E-3</v>
      </c>
      <c r="E51" s="17"/>
      <c r="F51" s="17"/>
      <c r="G51" s="17"/>
      <c r="H51" s="16">
        <v>9868.2870000000003</v>
      </c>
      <c r="I51" s="16">
        <v>2034.7090000000001</v>
      </c>
      <c r="J51" s="16">
        <f t="shared" si="5"/>
        <v>7833.5780000000004</v>
      </c>
      <c r="K51" s="16">
        <f>C51+J51</f>
        <v>41442.578000000001</v>
      </c>
      <c r="L51" s="16">
        <v>1048319</v>
      </c>
      <c r="M51" s="16">
        <f t="shared" si="6"/>
        <v>1940.9254244175675</v>
      </c>
      <c r="N51" s="16">
        <f t="shared" si="7"/>
        <v>7472.5136146535551</v>
      </c>
      <c r="O51" s="16">
        <f t="shared" si="8"/>
        <v>39532.411412938236</v>
      </c>
      <c r="P51" s="16">
        <f t="shared" si="9"/>
        <v>18435.617334654933</v>
      </c>
      <c r="Q51" s="16">
        <f t="shared" si="10"/>
        <v>-13624.280463629748</v>
      </c>
      <c r="R51" s="84"/>
    </row>
    <row r="52" spans="1:18">
      <c r="A52" s="14">
        <v>25</v>
      </c>
      <c r="B52" s="15" t="s">
        <v>112</v>
      </c>
      <c r="C52" s="16">
        <v>90186</v>
      </c>
      <c r="D52" s="17">
        <f t="shared" si="4"/>
        <v>9.3067317619851802E-3</v>
      </c>
      <c r="E52" s="17"/>
      <c r="F52" s="17"/>
      <c r="G52" s="17"/>
      <c r="H52" s="16">
        <v>29436.988000000001</v>
      </c>
      <c r="I52" s="16">
        <v>4092.5770000000002</v>
      </c>
      <c r="J52" s="16">
        <f t="shared" si="5"/>
        <v>25344.411</v>
      </c>
      <c r="K52" s="16">
        <f>C52+J52</f>
        <v>115530.41099999999</v>
      </c>
      <c r="L52" s="16">
        <v>2926324</v>
      </c>
      <c r="M52" s="16">
        <f t="shared" si="6"/>
        <v>1398.5385760428442</v>
      </c>
      <c r="N52" s="16">
        <f t="shared" si="7"/>
        <v>8660.8355739145773</v>
      </c>
      <c r="O52" s="16">
        <f t="shared" si="8"/>
        <v>39479.705938235136</v>
      </c>
      <c r="P52" s="16">
        <f t="shared" si="9"/>
        <v>18382.911859951833</v>
      </c>
      <c r="Q52" s="16">
        <f t="shared" si="10"/>
        <v>-12435.958504368726</v>
      </c>
      <c r="R52" s="84"/>
    </row>
    <row r="53" spans="1:18">
      <c r="A53" s="14">
        <v>26</v>
      </c>
      <c r="B53" s="15" t="s">
        <v>158</v>
      </c>
      <c r="C53" s="16">
        <v>23099</v>
      </c>
      <c r="D53" s="17">
        <f t="shared" si="4"/>
        <v>2.3836981013693444E-3</v>
      </c>
      <c r="E53" s="17"/>
      <c r="F53" s="17"/>
      <c r="G53" s="17"/>
      <c r="H53" s="16">
        <v>8284.4740000000002</v>
      </c>
      <c r="I53" s="16">
        <v>1650.3009999999999</v>
      </c>
      <c r="J53" s="16">
        <f t="shared" si="5"/>
        <v>6634.1730000000007</v>
      </c>
      <c r="K53" s="16">
        <f>C53+J53</f>
        <v>29733.173000000003</v>
      </c>
      <c r="L53" s="16">
        <v>754844</v>
      </c>
      <c r="M53" s="16">
        <f t="shared" si="6"/>
        <v>2186.2808739289176</v>
      </c>
      <c r="N53" s="16">
        <f t="shared" si="7"/>
        <v>8788.8000699482291</v>
      </c>
      <c r="O53" s="16">
        <f t="shared" si="8"/>
        <v>39389.824917466394</v>
      </c>
      <c r="P53" s="16">
        <f t="shared" si="9"/>
        <v>18293.030839183091</v>
      </c>
      <c r="Q53" s="16">
        <f t="shared" si="10"/>
        <v>-12307.994008335074</v>
      </c>
      <c r="R53" s="84"/>
    </row>
    <row r="54" spans="1:18">
      <c r="A54" s="14">
        <v>27</v>
      </c>
      <c r="B54" s="15" t="s">
        <v>92</v>
      </c>
      <c r="C54" s="16">
        <v>158533</v>
      </c>
      <c r="D54" s="17">
        <f t="shared" si="4"/>
        <v>1.6359790947849961E-2</v>
      </c>
      <c r="E54" s="17"/>
      <c r="F54" s="17"/>
      <c r="G54" s="17"/>
      <c r="H54" s="16">
        <v>54209</v>
      </c>
      <c r="I54" s="16">
        <v>10893</v>
      </c>
      <c r="J54" s="16">
        <f t="shared" si="5"/>
        <v>43316</v>
      </c>
      <c r="K54" s="16">
        <f>C54+J54</f>
        <v>201849</v>
      </c>
      <c r="L54" s="16">
        <v>5130632</v>
      </c>
      <c r="M54" s="16">
        <f t="shared" si="6"/>
        <v>2123.1302498405653</v>
      </c>
      <c r="N54" s="16">
        <f t="shared" si="7"/>
        <v>8442.6246123284618</v>
      </c>
      <c r="O54" s="16">
        <f t="shared" si="8"/>
        <v>39341.936821818439</v>
      </c>
      <c r="P54" s="16">
        <f t="shared" si="9"/>
        <v>18245.142743535136</v>
      </c>
      <c r="Q54" s="16">
        <f t="shared" si="10"/>
        <v>-12654.169465954841</v>
      </c>
      <c r="R54" s="65"/>
    </row>
    <row r="55" spans="1:18">
      <c r="A55" s="14">
        <v>28</v>
      </c>
      <c r="B55" s="15" t="s">
        <v>47</v>
      </c>
      <c r="C55" s="16">
        <v>471316</v>
      </c>
      <c r="D55" s="17">
        <f t="shared" si="4"/>
        <v>4.8637389252564778E-2</v>
      </c>
      <c r="E55" s="17"/>
      <c r="F55" s="17"/>
      <c r="G55" s="17"/>
      <c r="H55" s="16">
        <v>204373</v>
      </c>
      <c r="I55" s="16">
        <v>54032</v>
      </c>
      <c r="J55" s="16">
        <f t="shared" si="5"/>
        <v>150341</v>
      </c>
      <c r="K55" s="16">
        <f>C55+J55</f>
        <v>621657</v>
      </c>
      <c r="L55" s="16">
        <v>15982378</v>
      </c>
      <c r="M55" s="16">
        <f t="shared" si="6"/>
        <v>3380.7234442834479</v>
      </c>
      <c r="N55" s="16">
        <f t="shared" si="7"/>
        <v>9406.672774226714</v>
      </c>
      <c r="O55" s="16">
        <f t="shared" si="8"/>
        <v>38896.402024780044</v>
      </c>
      <c r="P55" s="16">
        <f t="shared" si="9"/>
        <v>17799.607946496741</v>
      </c>
      <c r="Q55" s="16">
        <f t="shared" si="10"/>
        <v>-11690.121304056589</v>
      </c>
      <c r="R55" s="84"/>
    </row>
    <row r="56" spans="1:18">
      <c r="A56" s="14">
        <v>29</v>
      </c>
      <c r="B56" s="15" t="s">
        <v>102</v>
      </c>
      <c r="C56" s="16">
        <v>112438</v>
      </c>
      <c r="D56" s="17">
        <f t="shared" si="4"/>
        <v>1.1603023815826067E-2</v>
      </c>
      <c r="E56" s="98">
        <v>2002</v>
      </c>
      <c r="F56" s="16">
        <v>121229.5</v>
      </c>
      <c r="G56" s="17">
        <f>F56/D104</f>
        <v>1.1043452516511044E-2</v>
      </c>
      <c r="H56" s="16">
        <v>22768</v>
      </c>
      <c r="I56" s="16">
        <v>8980</v>
      </c>
      <c r="J56" s="16">
        <f t="shared" si="5"/>
        <v>13788</v>
      </c>
      <c r="K56" s="16">
        <f>F56+J56</f>
        <v>135017.5</v>
      </c>
      <c r="L56" s="16">
        <v>3513399</v>
      </c>
      <c r="M56" s="16">
        <f t="shared" si="6"/>
        <v>2555.9294574854721</v>
      </c>
      <c r="N56" s="16">
        <f t="shared" si="7"/>
        <v>3924.4048284866021</v>
      </c>
      <c r="O56" s="16">
        <f t="shared" si="8"/>
        <v>38429.310192209879</v>
      </c>
      <c r="P56" s="16">
        <f t="shared" si="9"/>
        <v>17332.516113926577</v>
      </c>
      <c r="Q56" s="16">
        <f t="shared" si="10"/>
        <v>-17172.389249796703</v>
      </c>
      <c r="R56" s="65"/>
    </row>
    <row r="57" spans="1:18">
      <c r="A57" s="14">
        <v>30</v>
      </c>
      <c r="B57" s="15" t="s">
        <v>156</v>
      </c>
      <c r="C57" s="16">
        <v>17752</v>
      </c>
      <c r="D57" s="17">
        <f t="shared" si="4"/>
        <v>1.8319151779517986E-3</v>
      </c>
      <c r="E57" s="98">
        <v>2002</v>
      </c>
      <c r="F57" s="16">
        <v>20209</v>
      </c>
      <c r="G57" s="17">
        <f>F57/D104</f>
        <v>1.8409473923935323E-3</v>
      </c>
      <c r="H57" s="16">
        <v>7148.5324049999999</v>
      </c>
      <c r="I57" s="16">
        <v>3470.8481400000001</v>
      </c>
      <c r="J57" s="16">
        <f t="shared" si="5"/>
        <v>3677.6842649999999</v>
      </c>
      <c r="K57" s="16">
        <f>F57+J57</f>
        <v>23886.684265</v>
      </c>
      <c r="L57" s="16">
        <v>638168</v>
      </c>
      <c r="M57" s="16">
        <f t="shared" si="6"/>
        <v>5438.7686941369675</v>
      </c>
      <c r="N57" s="16">
        <f t="shared" si="7"/>
        <v>5762.8779020571383</v>
      </c>
      <c r="O57" s="16">
        <f t="shared" si="8"/>
        <v>37430.087790362413</v>
      </c>
      <c r="P57" s="16">
        <f t="shared" si="9"/>
        <v>16333.29371207911</v>
      </c>
      <c r="Q57" s="16">
        <f t="shared" si="10"/>
        <v>-15333.916176226165</v>
      </c>
      <c r="R57" s="65"/>
    </row>
    <row r="58" spans="1:18">
      <c r="A58" s="14">
        <v>31</v>
      </c>
      <c r="B58" s="15" t="s">
        <v>74</v>
      </c>
      <c r="C58" s="16">
        <v>221961</v>
      </c>
      <c r="D58" s="17">
        <f t="shared" si="4"/>
        <v>2.2905234610937315E-2</v>
      </c>
      <c r="E58" s="98">
        <v>2002</v>
      </c>
      <c r="F58" s="16">
        <v>248189.1</v>
      </c>
      <c r="G58" s="17">
        <f>F58/D104</f>
        <v>2.2608890913231611E-2</v>
      </c>
      <c r="H58" s="16">
        <v>45158</v>
      </c>
      <c r="I58" s="16">
        <v>30190</v>
      </c>
      <c r="J58" s="16">
        <f t="shared" si="5"/>
        <v>14968</v>
      </c>
      <c r="K58" s="16">
        <f>F58+J58</f>
        <v>263157.09999999998</v>
      </c>
      <c r="L58" s="16">
        <v>7047121</v>
      </c>
      <c r="M58" s="16">
        <f t="shared" si="6"/>
        <v>4284.0189632049742</v>
      </c>
      <c r="N58" s="16">
        <f t="shared" si="7"/>
        <v>2123.9879377691968</v>
      </c>
      <c r="O58" s="16">
        <f t="shared" si="8"/>
        <v>37342.497737728634</v>
      </c>
      <c r="P58" s="16">
        <f t="shared" si="9"/>
        <v>16245.703659445331</v>
      </c>
      <c r="Q58" s="16">
        <f t="shared" si="10"/>
        <v>-18972.806140514105</v>
      </c>
      <c r="R58" s="84"/>
    </row>
    <row r="59" spans="1:18">
      <c r="A59" s="14">
        <v>32</v>
      </c>
      <c r="B59" s="15" t="s">
        <v>115</v>
      </c>
      <c r="C59" s="16">
        <v>67568</v>
      </c>
      <c r="D59" s="17">
        <f t="shared" si="4"/>
        <v>6.9726703889053145E-3</v>
      </c>
      <c r="E59" s="98">
        <v>2002</v>
      </c>
      <c r="F59" s="16">
        <v>75998.8</v>
      </c>
      <c r="G59" s="17">
        <f>F59/D104</f>
        <v>6.9231427920746985E-3</v>
      </c>
      <c r="H59" s="16">
        <v>14736.271000000001</v>
      </c>
      <c r="I59" s="16">
        <v>4304.2330000000002</v>
      </c>
      <c r="J59" s="16">
        <f t="shared" si="5"/>
        <v>10432.038</v>
      </c>
      <c r="K59" s="16">
        <f>F59+J59</f>
        <v>86430.838000000003</v>
      </c>
      <c r="L59" s="16">
        <v>2324815</v>
      </c>
      <c r="M59" s="16">
        <f t="shared" si="6"/>
        <v>1851.4303288648773</v>
      </c>
      <c r="N59" s="16">
        <f t="shared" si="7"/>
        <v>4487.2551149231231</v>
      </c>
      <c r="O59" s="16">
        <f t="shared" si="8"/>
        <v>37177.512189141933</v>
      </c>
      <c r="P59" s="16">
        <f t="shared" si="9"/>
        <v>16080.71811085863</v>
      </c>
      <c r="Q59" s="16">
        <f t="shared" si="10"/>
        <v>-16609.538963360181</v>
      </c>
      <c r="R59" s="65"/>
    </row>
    <row r="60" spans="1:18">
      <c r="A60" s="14">
        <v>33</v>
      </c>
      <c r="B60" s="15" t="s">
        <v>203</v>
      </c>
      <c r="C60" s="16">
        <v>389619</v>
      </c>
      <c r="D60" s="17">
        <f t="shared" ref="D60:D91" si="12">C60/$C$78</f>
        <v>4.0206678668229037E-2</v>
      </c>
      <c r="E60" s="98">
        <v>2002</v>
      </c>
      <c r="F60" s="16">
        <v>436985.5</v>
      </c>
      <c r="G60" s="17">
        <f>F60/D104</f>
        <v>3.9807378729218856E-2</v>
      </c>
      <c r="H60" s="16">
        <v>37361</v>
      </c>
      <c r="I60" s="16">
        <v>16151</v>
      </c>
      <c r="J60" s="16">
        <f t="shared" ref="J60:J91" si="13">H60-I60</f>
        <v>21210</v>
      </c>
      <c r="K60" s="16">
        <f>F60+J60</f>
        <v>458195.5</v>
      </c>
      <c r="L60" s="16">
        <v>12334990</v>
      </c>
      <c r="M60" s="16">
        <f t="shared" ref="M60:M91" si="14">I60*1000000/L60</f>
        <v>1309.3646610171552</v>
      </c>
      <c r="N60" s="16">
        <f t="shared" ref="N60:N82" si="15">J60*1000000/L60</f>
        <v>1719.4987592207208</v>
      </c>
      <c r="O60" s="16">
        <f t="shared" ref="O60:O82" si="16">K60*1000000/L60</f>
        <v>37145.996875554825</v>
      </c>
      <c r="P60" s="16">
        <f t="shared" ref="P60:P91" si="17">O60+$E$87</f>
        <v>16049.202797271522</v>
      </c>
      <c r="Q60" s="16">
        <f t="shared" ref="Q60:Q82" si="18">N60+$E$87</f>
        <v>-19377.295319062581</v>
      </c>
      <c r="R60" s="65"/>
    </row>
    <row r="61" spans="1:18">
      <c r="A61" s="14">
        <v>34</v>
      </c>
      <c r="B61" s="15" t="s">
        <v>150</v>
      </c>
      <c r="C61" s="16">
        <v>43518</v>
      </c>
      <c r="D61" s="17">
        <f t="shared" si="12"/>
        <v>4.4908339744314093E-3</v>
      </c>
      <c r="E61" s="17"/>
      <c r="F61" s="17"/>
      <c r="G61" s="17"/>
      <c r="H61" s="16">
        <v>3723.3620000000001</v>
      </c>
      <c r="I61" s="16">
        <v>1697.192</v>
      </c>
      <c r="J61" s="16">
        <f t="shared" si="13"/>
        <v>2026.17</v>
      </c>
      <c r="K61" s="16">
        <f t="shared" ref="K61:K68" si="19">C61+J61</f>
        <v>45544.17</v>
      </c>
      <c r="L61" s="16">
        <v>1235786</v>
      </c>
      <c r="M61" s="16">
        <f t="shared" si="14"/>
        <v>1373.3704702917819</v>
      </c>
      <c r="N61" s="16">
        <f t="shared" si="15"/>
        <v>1639.5799920050883</v>
      </c>
      <c r="O61" s="16">
        <f t="shared" si="16"/>
        <v>36854.414922972101</v>
      </c>
      <c r="P61" s="16">
        <f t="shared" si="17"/>
        <v>15757.620844688798</v>
      </c>
      <c r="Q61" s="16">
        <f t="shared" si="18"/>
        <v>-19457.214086278214</v>
      </c>
      <c r="R61" s="65"/>
    </row>
    <row r="62" spans="1:18">
      <c r="A62" s="14">
        <v>35</v>
      </c>
      <c r="B62" s="15" t="s">
        <v>82</v>
      </c>
      <c r="C62" s="16">
        <v>194419</v>
      </c>
      <c r="D62" s="17">
        <f t="shared" si="12"/>
        <v>2.0063041740773477E-2</v>
      </c>
      <c r="E62" s="17"/>
      <c r="F62" s="17"/>
      <c r="G62" s="17"/>
      <c r="H62" s="16">
        <v>36376</v>
      </c>
      <c r="I62" s="16">
        <v>9899</v>
      </c>
      <c r="J62" s="16">
        <f t="shared" si="13"/>
        <v>26477</v>
      </c>
      <c r="K62" s="16">
        <f t="shared" si="19"/>
        <v>220896</v>
      </c>
      <c r="L62" s="16">
        <v>6080485</v>
      </c>
      <c r="M62" s="16">
        <f t="shared" si="14"/>
        <v>1627.9951352564804</v>
      </c>
      <c r="N62" s="16">
        <f t="shared" si="15"/>
        <v>4354.4223857142979</v>
      </c>
      <c r="O62" s="16">
        <f t="shared" si="16"/>
        <v>36328.68101804379</v>
      </c>
      <c r="P62" s="16">
        <f t="shared" si="17"/>
        <v>15231.886939760487</v>
      </c>
      <c r="Q62" s="16">
        <f t="shared" si="18"/>
        <v>-16742.371692569006</v>
      </c>
      <c r="R62" s="84"/>
    </row>
    <row r="63" spans="1:18">
      <c r="A63" s="14">
        <v>36</v>
      </c>
      <c r="B63" s="15" t="s">
        <v>153</v>
      </c>
      <c r="C63" s="16">
        <v>34989</v>
      </c>
      <c r="D63" s="17">
        <f t="shared" si="12"/>
        <v>3.6106850023296241E-3</v>
      </c>
      <c r="E63" s="17"/>
      <c r="F63" s="17"/>
      <c r="G63" s="17"/>
      <c r="H63" s="16">
        <v>14820.094999999999</v>
      </c>
      <c r="I63" s="16">
        <v>2852.8240000000001</v>
      </c>
      <c r="J63" s="16">
        <f t="shared" si="13"/>
        <v>11967.270999999999</v>
      </c>
      <c r="K63" s="16">
        <f t="shared" si="19"/>
        <v>46956.271000000001</v>
      </c>
      <c r="L63" s="16">
        <v>1293953</v>
      </c>
      <c r="M63" s="16">
        <f t="shared" si="14"/>
        <v>2204.7354115644075</v>
      </c>
      <c r="N63" s="16">
        <f t="shared" si="15"/>
        <v>9248.6133576721859</v>
      </c>
      <c r="O63" s="16">
        <f t="shared" si="16"/>
        <v>36289.008178813296</v>
      </c>
      <c r="P63" s="16">
        <f t="shared" si="17"/>
        <v>15192.214100529993</v>
      </c>
      <c r="Q63" s="16">
        <f t="shared" si="18"/>
        <v>-11848.180720611117</v>
      </c>
      <c r="R63" s="65"/>
    </row>
    <row r="64" spans="1:18">
      <c r="A64" s="14">
        <v>37</v>
      </c>
      <c r="B64" s="15" t="s">
        <v>88</v>
      </c>
      <c r="C64" s="16">
        <v>174851</v>
      </c>
      <c r="D64" s="17">
        <f t="shared" si="12"/>
        <v>1.8043724694685105E-2</v>
      </c>
      <c r="E64" s="17"/>
      <c r="F64" s="17"/>
      <c r="G64" s="17"/>
      <c r="H64" s="16">
        <v>35189</v>
      </c>
      <c r="I64" s="16">
        <v>3896</v>
      </c>
      <c r="J64" s="16">
        <f t="shared" si="13"/>
        <v>31293</v>
      </c>
      <c r="K64" s="16">
        <f t="shared" si="19"/>
        <v>206144</v>
      </c>
      <c r="L64" s="16">
        <v>5689283</v>
      </c>
      <c r="M64" s="16">
        <f t="shared" si="14"/>
        <v>684.79630913069366</v>
      </c>
      <c r="N64" s="16">
        <f t="shared" si="15"/>
        <v>5500.3416071937363</v>
      </c>
      <c r="O64" s="16">
        <f t="shared" si="16"/>
        <v>36233.739822750955</v>
      </c>
      <c r="P64" s="16">
        <f t="shared" si="17"/>
        <v>15136.945744467652</v>
      </c>
      <c r="Q64" s="16">
        <f t="shared" si="18"/>
        <v>-15596.452471089568</v>
      </c>
      <c r="R64" s="65"/>
    </row>
    <row r="65" spans="1:18">
      <c r="A65" s="14">
        <v>38</v>
      </c>
      <c r="B65" s="15" t="s">
        <v>119</v>
      </c>
      <c r="C65" s="16">
        <v>82812</v>
      </c>
      <c r="D65" s="17">
        <f t="shared" si="12"/>
        <v>8.5457728546949278E-3</v>
      </c>
      <c r="E65" s="17"/>
      <c r="F65" s="17"/>
      <c r="G65" s="17"/>
      <c r="H65" s="16">
        <v>16683.048999999999</v>
      </c>
      <c r="I65" s="16">
        <v>2883.2640000000001</v>
      </c>
      <c r="J65" s="16">
        <f t="shared" si="13"/>
        <v>13799.785</v>
      </c>
      <c r="K65" s="16">
        <f t="shared" si="19"/>
        <v>96611.785000000003</v>
      </c>
      <c r="L65" s="16">
        <v>2688418</v>
      </c>
      <c r="M65" s="16">
        <f t="shared" si="14"/>
        <v>1072.4760807285177</v>
      </c>
      <c r="N65" s="16">
        <f t="shared" si="15"/>
        <v>5133.0503664236739</v>
      </c>
      <c r="O65" s="16">
        <f t="shared" si="16"/>
        <v>35936.295992661857</v>
      </c>
      <c r="P65" s="16">
        <f t="shared" si="17"/>
        <v>14839.501914378554</v>
      </c>
      <c r="Q65" s="16">
        <f t="shared" si="18"/>
        <v>-15963.743711859628</v>
      </c>
      <c r="R65" s="65"/>
    </row>
    <row r="66" spans="1:18">
      <c r="A66" s="14">
        <v>39</v>
      </c>
      <c r="B66" s="15" t="s">
        <v>100</v>
      </c>
      <c r="C66" s="16">
        <v>131520</v>
      </c>
      <c r="D66" s="17">
        <f t="shared" si="12"/>
        <v>1.3572188159318418E-2</v>
      </c>
      <c r="E66" s="17"/>
      <c r="F66" s="17"/>
      <c r="G66" s="17"/>
      <c r="H66" s="16">
        <v>38602</v>
      </c>
      <c r="I66" s="16">
        <v>10329</v>
      </c>
      <c r="J66" s="16">
        <f t="shared" si="13"/>
        <v>28273</v>
      </c>
      <c r="K66" s="16">
        <f t="shared" si="19"/>
        <v>159793</v>
      </c>
      <c r="L66" s="16">
        <v>4468976</v>
      </c>
      <c r="M66" s="16">
        <f t="shared" si="14"/>
        <v>2311.2677266559499</v>
      </c>
      <c r="N66" s="16">
        <f t="shared" si="15"/>
        <v>6326.5052217778748</v>
      </c>
      <c r="O66" s="16">
        <f t="shared" si="16"/>
        <v>35756.065819104871</v>
      </c>
      <c r="P66" s="16">
        <f t="shared" si="17"/>
        <v>14659.271740821569</v>
      </c>
      <c r="Q66" s="16">
        <f t="shared" si="18"/>
        <v>-14770.288856505427</v>
      </c>
      <c r="R66" s="65"/>
    </row>
    <row r="67" spans="1:18">
      <c r="A67" s="14">
        <v>40</v>
      </c>
      <c r="B67" s="15" t="s">
        <v>50</v>
      </c>
      <c r="C67" s="16">
        <v>372006</v>
      </c>
      <c r="D67" s="17">
        <f t="shared" si="12"/>
        <v>3.8389107575999143E-2</v>
      </c>
      <c r="E67" s="17"/>
      <c r="F67" s="17"/>
      <c r="G67" s="17"/>
      <c r="H67" s="16">
        <v>195795</v>
      </c>
      <c r="I67" s="16">
        <v>168535</v>
      </c>
      <c r="J67" s="16">
        <f t="shared" si="13"/>
        <v>27260</v>
      </c>
      <c r="K67" s="16">
        <f t="shared" si="19"/>
        <v>399266</v>
      </c>
      <c r="L67" s="16">
        <v>11353140</v>
      </c>
      <c r="M67" s="16">
        <f t="shared" si="14"/>
        <v>14844.791837324299</v>
      </c>
      <c r="N67" s="16">
        <f t="shared" si="15"/>
        <v>2401.0978460584474</v>
      </c>
      <c r="O67" s="16">
        <f t="shared" si="16"/>
        <v>35167.89187837021</v>
      </c>
      <c r="P67" s="16">
        <f t="shared" si="17"/>
        <v>14071.097800086907</v>
      </c>
      <c r="Q67" s="16">
        <f t="shared" si="18"/>
        <v>-18695.696232224855</v>
      </c>
      <c r="R67" s="84"/>
    </row>
    <row r="68" spans="1:18">
      <c r="A68" s="14">
        <v>41</v>
      </c>
      <c r="B68" s="15" t="s">
        <v>161</v>
      </c>
      <c r="C68" s="16">
        <v>17782</v>
      </c>
      <c r="D68" s="17">
        <f t="shared" si="12"/>
        <v>1.8350110237910593E-3</v>
      </c>
      <c r="E68" s="17"/>
      <c r="F68" s="17"/>
      <c r="G68" s="17"/>
      <c r="H68" s="16">
        <v>4431.6319999999996</v>
      </c>
      <c r="I68" s="16">
        <v>1210.5619999999999</v>
      </c>
      <c r="J68" s="16">
        <f t="shared" si="13"/>
        <v>3221.0699999999997</v>
      </c>
      <c r="K68" s="16">
        <f t="shared" si="19"/>
        <v>21003.07</v>
      </c>
      <c r="L68" s="16">
        <v>608827</v>
      </c>
      <c r="M68" s="16">
        <f t="shared" si="14"/>
        <v>1988.3513707506402</v>
      </c>
      <c r="N68" s="16">
        <f t="shared" si="15"/>
        <v>5290.6162177432989</v>
      </c>
      <c r="O68" s="16">
        <f t="shared" si="16"/>
        <v>34497.599482283142</v>
      </c>
      <c r="P68" s="16">
        <f t="shared" si="17"/>
        <v>13400.805403999839</v>
      </c>
      <c r="Q68" s="16">
        <f t="shared" si="18"/>
        <v>-15806.177860540003</v>
      </c>
      <c r="R68" s="84"/>
    </row>
    <row r="69" spans="1:18">
      <c r="A69" s="14">
        <v>42</v>
      </c>
      <c r="B69" s="15" t="s">
        <v>104</v>
      </c>
      <c r="C69" s="16">
        <v>112514</v>
      </c>
      <c r="D69" s="17">
        <f t="shared" si="12"/>
        <v>1.1610866625285527E-2</v>
      </c>
      <c r="E69" s="98">
        <v>2002</v>
      </c>
      <c r="F69" s="16">
        <v>124160.1</v>
      </c>
      <c r="G69" s="17">
        <f>F69/D104</f>
        <v>1.1310416761557732E-2</v>
      </c>
      <c r="H69" s="16">
        <v>21810.151000000002</v>
      </c>
      <c r="I69" s="16">
        <v>9745.1450000000004</v>
      </c>
      <c r="J69" s="16">
        <f t="shared" si="13"/>
        <v>12065.006000000001</v>
      </c>
      <c r="K69" s="16">
        <f>F69+J69</f>
        <v>136225.106</v>
      </c>
      <c r="L69" s="16">
        <v>4107795</v>
      </c>
      <c r="M69" s="16">
        <f t="shared" si="14"/>
        <v>2372.3542679223283</v>
      </c>
      <c r="N69" s="16">
        <f t="shared" si="15"/>
        <v>2937.1003178104074</v>
      </c>
      <c r="O69" s="16">
        <f t="shared" si="16"/>
        <v>33162.586253695721</v>
      </c>
      <c r="P69" s="16">
        <f t="shared" si="17"/>
        <v>12065.792175412418</v>
      </c>
      <c r="Q69" s="16">
        <f t="shared" si="18"/>
        <v>-18159.693760472896</v>
      </c>
      <c r="R69" s="65"/>
    </row>
    <row r="70" spans="1:18">
      <c r="A70" s="14">
        <v>43</v>
      </c>
      <c r="B70" s="15" t="s">
        <v>124</v>
      </c>
      <c r="C70" s="16">
        <v>66801</v>
      </c>
      <c r="D70" s="17">
        <f t="shared" si="12"/>
        <v>6.8935199302815513E-3</v>
      </c>
      <c r="E70" s="17"/>
      <c r="F70" s="17"/>
      <c r="G70" s="17"/>
      <c r="H70" s="16">
        <v>24464.726999999999</v>
      </c>
      <c r="I70" s="16">
        <v>4766.1469999999999</v>
      </c>
      <c r="J70" s="16">
        <f t="shared" si="13"/>
        <v>19698.579999999998</v>
      </c>
      <c r="K70" s="16">
        <f>C70+J70</f>
        <v>86499.58</v>
      </c>
      <c r="L70" s="16">
        <v>2673400</v>
      </c>
      <c r="M70" s="16">
        <f t="shared" si="14"/>
        <v>1782.8035460462334</v>
      </c>
      <c r="N70" s="16">
        <f t="shared" si="15"/>
        <v>7368.3623849779306</v>
      </c>
      <c r="O70" s="16">
        <f t="shared" si="16"/>
        <v>32355.64449764345</v>
      </c>
      <c r="P70" s="16">
        <f t="shared" si="17"/>
        <v>11258.850419360147</v>
      </c>
      <c r="Q70" s="16">
        <f t="shared" si="18"/>
        <v>-13728.431693305372</v>
      </c>
      <c r="R70" s="65"/>
    </row>
    <row r="71" spans="1:18">
      <c r="A71" s="14">
        <v>44</v>
      </c>
      <c r="B71" s="15" t="s">
        <v>132</v>
      </c>
      <c r="C71" s="16">
        <v>64266</v>
      </c>
      <c r="D71" s="17">
        <f t="shared" si="12"/>
        <v>6.6319209568640319E-3</v>
      </c>
      <c r="E71" s="17"/>
      <c r="F71" s="17"/>
      <c r="G71" s="17"/>
      <c r="H71" s="16">
        <v>29561.839</v>
      </c>
      <c r="I71" s="16">
        <v>6139.4530000000004</v>
      </c>
      <c r="J71" s="16">
        <f t="shared" si="13"/>
        <v>23422.385999999999</v>
      </c>
      <c r="K71" s="16">
        <f>C71+J71</f>
        <v>87688.385999999999</v>
      </c>
      <c r="L71" s="16">
        <v>2844658</v>
      </c>
      <c r="M71" s="16">
        <f t="shared" si="14"/>
        <v>2158.2394087443904</v>
      </c>
      <c r="N71" s="16">
        <f t="shared" si="15"/>
        <v>8233.8143987783424</v>
      </c>
      <c r="O71" s="16">
        <f t="shared" si="16"/>
        <v>30825.633872331928</v>
      </c>
      <c r="P71" s="16">
        <f t="shared" si="17"/>
        <v>9728.8397940486248</v>
      </c>
      <c r="Q71" s="16">
        <f t="shared" si="18"/>
        <v>-12862.979679504961</v>
      </c>
      <c r="R71" s="65"/>
    </row>
    <row r="72" spans="1:18">
      <c r="A72" s="14">
        <v>45</v>
      </c>
      <c r="B72" s="15" t="s">
        <v>107</v>
      </c>
      <c r="C72" s="16">
        <v>111900</v>
      </c>
      <c r="D72" s="17">
        <f t="shared" si="12"/>
        <v>1.1547504980441993E-2</v>
      </c>
      <c r="E72" s="98">
        <v>2002</v>
      </c>
      <c r="F72" s="16">
        <v>122193.1</v>
      </c>
      <c r="G72" s="17">
        <f>F72/D104</f>
        <v>1.1131232065588704E-2</v>
      </c>
      <c r="H72" s="16">
        <v>7183.3429999999998</v>
      </c>
      <c r="I72" s="16">
        <v>6999.5330000000004</v>
      </c>
      <c r="J72" s="16">
        <f t="shared" si="13"/>
        <v>183.80999999999949</v>
      </c>
      <c r="K72" s="16">
        <f>F72+J72</f>
        <v>122376.91</v>
      </c>
      <c r="L72" s="16">
        <v>4089875</v>
      </c>
      <c r="M72" s="16">
        <f t="shared" si="14"/>
        <v>1711.4295669183043</v>
      </c>
      <c r="N72" s="16">
        <f t="shared" si="15"/>
        <v>44.942693847611359</v>
      </c>
      <c r="O72" s="16">
        <f t="shared" si="16"/>
        <v>29921.919374064</v>
      </c>
      <c r="P72" s="16">
        <f t="shared" si="17"/>
        <v>8825.1252957806973</v>
      </c>
      <c r="Q72" s="16">
        <f t="shared" si="18"/>
        <v>-21051.851384435693</v>
      </c>
      <c r="R72" s="84"/>
    </row>
    <row r="73" spans="1:18">
      <c r="A73" s="14">
        <v>46</v>
      </c>
      <c r="B73" s="15" t="s">
        <v>154</v>
      </c>
      <c r="C73" s="16">
        <v>35542</v>
      </c>
      <c r="D73" s="17">
        <f t="shared" si="12"/>
        <v>3.6677517606333275E-3</v>
      </c>
      <c r="E73" s="17"/>
      <c r="F73" s="17"/>
      <c r="G73" s="17"/>
      <c r="H73" s="16">
        <v>3433.1729999999998</v>
      </c>
      <c r="I73" s="16">
        <v>1743.5530000000001</v>
      </c>
      <c r="J73" s="16">
        <f t="shared" si="13"/>
        <v>1689.6199999999997</v>
      </c>
      <c r="K73" s="16">
        <f>C73+J73</f>
        <v>37231.620000000003</v>
      </c>
      <c r="L73" s="16">
        <v>1274923</v>
      </c>
      <c r="M73" s="16">
        <f t="shared" si="14"/>
        <v>1367.5751398319742</v>
      </c>
      <c r="N73" s="16">
        <f t="shared" si="15"/>
        <v>1325.2721929089048</v>
      </c>
      <c r="O73" s="16">
        <f t="shared" si="16"/>
        <v>29203.034222458926</v>
      </c>
      <c r="P73" s="16">
        <f t="shared" si="17"/>
        <v>8106.2401441756228</v>
      </c>
      <c r="Q73" s="16">
        <f t="shared" si="18"/>
        <v>-19771.521885374397</v>
      </c>
      <c r="R73" s="84"/>
    </row>
    <row r="74" spans="1:18">
      <c r="A74" s="14">
        <v>47</v>
      </c>
      <c r="B74" s="15" t="s">
        <v>110</v>
      </c>
      <c r="C74" s="16">
        <v>89757</v>
      </c>
      <c r="D74" s="17">
        <f t="shared" si="12"/>
        <v>9.2624611664837535E-3</v>
      </c>
      <c r="E74" s="17"/>
      <c r="F74" s="17"/>
      <c r="G74" s="17"/>
      <c r="H74" s="16">
        <v>8078.6030000000001</v>
      </c>
      <c r="I74" s="16">
        <v>2910.3870000000002</v>
      </c>
      <c r="J74" s="16">
        <f t="shared" si="13"/>
        <v>5168.2160000000003</v>
      </c>
      <c r="K74" s="16">
        <f>C74+J74</f>
        <v>94925.216</v>
      </c>
      <c r="L74" s="16">
        <v>3450654</v>
      </c>
      <c r="M74" s="16">
        <f t="shared" si="14"/>
        <v>843.43054968710283</v>
      </c>
      <c r="N74" s="16">
        <f t="shared" si="15"/>
        <v>1497.7497019405596</v>
      </c>
      <c r="O74" s="16">
        <f t="shared" si="16"/>
        <v>27509.340548197531</v>
      </c>
      <c r="P74" s="16">
        <f t="shared" si="17"/>
        <v>6412.5464699142285</v>
      </c>
      <c r="Q74" s="16">
        <f t="shared" si="18"/>
        <v>-19599.044376342743</v>
      </c>
      <c r="R74" s="65"/>
    </row>
    <row r="75" spans="1:18">
      <c r="A75" s="14">
        <v>48</v>
      </c>
      <c r="B75" s="15" t="s">
        <v>159</v>
      </c>
      <c r="C75" s="16">
        <v>21366</v>
      </c>
      <c r="D75" s="17">
        <f t="shared" si="12"/>
        <v>2.2048614067213907E-3</v>
      </c>
      <c r="E75" s="17"/>
      <c r="F75" s="17"/>
      <c r="G75" s="17"/>
      <c r="H75" s="16">
        <v>4903.5680000000002</v>
      </c>
      <c r="I75" s="16">
        <v>1507.934</v>
      </c>
      <c r="J75" s="16">
        <f t="shared" si="13"/>
        <v>3395.634</v>
      </c>
      <c r="K75" s="16">
        <f>C75+J75</f>
        <v>24761.633999999998</v>
      </c>
      <c r="L75" s="16">
        <v>902195</v>
      </c>
      <c r="M75" s="16">
        <f t="shared" si="14"/>
        <v>1671.4058490681061</v>
      </c>
      <c r="N75" s="16">
        <f t="shared" si="15"/>
        <v>3763.7473051834691</v>
      </c>
      <c r="O75" s="16">
        <f t="shared" si="16"/>
        <v>27445.98894917396</v>
      </c>
      <c r="P75" s="16">
        <f t="shared" si="17"/>
        <v>6349.1948708906566</v>
      </c>
      <c r="Q75" s="16">
        <f t="shared" si="18"/>
        <v>-17333.046773099835</v>
      </c>
      <c r="R75" s="65"/>
    </row>
    <row r="76" spans="1:18">
      <c r="A76" s="14">
        <v>49</v>
      </c>
      <c r="B76" s="15" t="s">
        <v>105</v>
      </c>
      <c r="C76" s="16">
        <v>114576</v>
      </c>
      <c r="D76" s="17">
        <f t="shared" si="12"/>
        <v>1.1823654429304038E-2</v>
      </c>
      <c r="E76" s="17"/>
      <c r="F76" s="17"/>
      <c r="G76" s="17"/>
      <c r="H76" s="16">
        <v>8547.4249999999993</v>
      </c>
      <c r="I76" s="16">
        <v>2604.4589999999998</v>
      </c>
      <c r="J76" s="16">
        <f t="shared" si="13"/>
        <v>5942.9659999999994</v>
      </c>
      <c r="K76" s="16">
        <f>C76+J76</f>
        <v>120518.966</v>
      </c>
      <c r="L76" s="16">
        <v>4447100</v>
      </c>
      <c r="M76" s="16">
        <f t="shared" si="14"/>
        <v>585.65334712509275</v>
      </c>
      <c r="N76" s="16">
        <f t="shared" si="15"/>
        <v>1336.3688696004135</v>
      </c>
      <c r="O76" s="16">
        <f t="shared" si="16"/>
        <v>27100.574756582941</v>
      </c>
      <c r="P76" s="16">
        <f t="shared" si="17"/>
        <v>6003.7806782996377</v>
      </c>
      <c r="Q76" s="16">
        <f t="shared" si="18"/>
        <v>-19760.425208682889</v>
      </c>
      <c r="R76" s="84"/>
    </row>
    <row r="77" spans="1:18" ht="13" thickBot="1">
      <c r="A77" s="19">
        <v>50</v>
      </c>
      <c r="B77" s="20" t="s">
        <v>151</v>
      </c>
      <c r="C77" s="21">
        <v>41476</v>
      </c>
      <c r="D77" s="17">
        <f t="shared" si="12"/>
        <v>4.2801100676390716E-3</v>
      </c>
      <c r="E77" s="99">
        <v>2002</v>
      </c>
      <c r="F77" s="21">
        <v>45433.7</v>
      </c>
      <c r="G77" s="22">
        <f>F77/D104</f>
        <v>4.1388020951947163E-3</v>
      </c>
      <c r="H77" s="21">
        <v>11062.356</v>
      </c>
      <c r="I77" s="21">
        <v>7477.6840000000002</v>
      </c>
      <c r="J77" s="66">
        <f t="shared" si="13"/>
        <v>3584.6719999999996</v>
      </c>
      <c r="K77" s="16">
        <f>F77+J77</f>
        <v>49018.371999999996</v>
      </c>
      <c r="L77" s="16">
        <v>1895414</v>
      </c>
      <c r="M77" s="16">
        <f t="shared" si="14"/>
        <v>3945.1454932800962</v>
      </c>
      <c r="N77" s="16">
        <f t="shared" si="15"/>
        <v>1891.2343160913656</v>
      </c>
      <c r="O77" s="16">
        <f t="shared" si="16"/>
        <v>25861.564808532592</v>
      </c>
      <c r="P77" s="16">
        <f t="shared" si="17"/>
        <v>4764.770730249289</v>
      </c>
      <c r="Q77" s="16">
        <f t="shared" si="18"/>
        <v>-19205.559762191937</v>
      </c>
      <c r="R77" s="65"/>
    </row>
    <row r="78" spans="1:18" ht="13" thickBot="1">
      <c r="A78" s="23" t="s">
        <v>55</v>
      </c>
      <c r="B78" s="24"/>
      <c r="C78" s="25">
        <f>SUM(C28:C77)</f>
        <v>9690405</v>
      </c>
      <c r="D78" s="40">
        <f t="shared" ref="D78:L78" si="20">SUM(D28:D77)</f>
        <v>0.99999999999999989</v>
      </c>
      <c r="E78" s="25"/>
      <c r="F78" s="25"/>
      <c r="G78" s="25"/>
      <c r="H78" s="25">
        <f>SUM(H28:H77)</f>
        <v>2650550.3766890005</v>
      </c>
      <c r="I78" s="25">
        <f t="shared" si="20"/>
        <v>858496.10547700012</v>
      </c>
      <c r="J78" s="25">
        <f t="shared" si="20"/>
        <v>1792054.2712120004</v>
      </c>
      <c r="K78" s="25">
        <f t="shared" si="20"/>
        <v>12035152.871211998</v>
      </c>
      <c r="L78" s="25">
        <f t="shared" si="20"/>
        <v>284160708</v>
      </c>
      <c r="M78" s="25">
        <f t="shared" si="14"/>
        <v>3021.164014966489</v>
      </c>
      <c r="N78" s="25">
        <f t="shared" si="15"/>
        <v>6306.4815815844622</v>
      </c>
      <c r="O78" s="25">
        <f t="shared" si="16"/>
        <v>42353.332224988677</v>
      </c>
      <c r="P78" s="25">
        <f t="shared" ref="P78" si="21">O78+$E$87</f>
        <v>21256.538146705374</v>
      </c>
      <c r="Q78" s="25">
        <f t="shared" si="18"/>
        <v>-14790.31249669884</v>
      </c>
    </row>
    <row r="79" spans="1:18">
      <c r="A79" s="118" t="s">
        <v>1</v>
      </c>
      <c r="B79" s="118"/>
      <c r="C79" s="26">
        <f>SUM(C28:C37)</f>
        <v>3324572</v>
      </c>
      <c r="D79" s="17">
        <f>C79/$C$78</f>
        <v>0.34307874645074171</v>
      </c>
      <c r="E79" s="44"/>
      <c r="F79" s="44"/>
      <c r="G79" s="44"/>
      <c r="H79" s="26">
        <f>SUM(H28:H37)</f>
        <v>1116951.341</v>
      </c>
      <c r="I79" s="26">
        <f>SUM(I28:I37)</f>
        <v>307915.58900000004</v>
      </c>
      <c r="J79" s="26">
        <f>SUM(J28:J37)</f>
        <v>809035.75199999998</v>
      </c>
      <c r="K79" s="26">
        <f>SUM(K28:K37)</f>
        <v>4410729.6519999998</v>
      </c>
      <c r="L79" s="26">
        <f>SUM(L28:L37)</f>
        <v>84766076</v>
      </c>
      <c r="M79" s="26">
        <f t="shared" si="14"/>
        <v>3632.5332436056146</v>
      </c>
      <c r="N79" s="26">
        <f t="shared" si="15"/>
        <v>9544.3341272515663</v>
      </c>
      <c r="O79" s="26">
        <f t="shared" si="16"/>
        <v>52034.137477355915</v>
      </c>
      <c r="P79" s="26">
        <f>O79+$E$87</f>
        <v>30937.343399072612</v>
      </c>
      <c r="Q79" s="26">
        <f t="shared" si="18"/>
        <v>-11552.459951031737</v>
      </c>
      <c r="R79" s="18"/>
    </row>
    <row r="80" spans="1:18">
      <c r="A80" s="113" t="s">
        <v>4</v>
      </c>
      <c r="B80" s="113"/>
      <c r="C80" s="27">
        <f>SUM(C28:C47)</f>
        <v>5434810</v>
      </c>
      <c r="D80" s="17">
        <f>C80/$C$78</f>
        <v>0.5608444641890612</v>
      </c>
      <c r="E80" s="17"/>
      <c r="F80" s="17"/>
      <c r="G80" s="17"/>
      <c r="H80" s="27">
        <f>SUM(H28:H47)</f>
        <v>1577286.1182839999</v>
      </c>
      <c r="I80" s="27">
        <f>SUM(I28:I47)</f>
        <v>433544.38633700006</v>
      </c>
      <c r="J80" s="27">
        <f>SUM(J28:J47)</f>
        <v>1143741.7319470001</v>
      </c>
      <c r="K80" s="27">
        <f>SUM(K28:K47)</f>
        <v>6926033.7319470001</v>
      </c>
      <c r="L80" s="27">
        <f>SUM(L28:L47)</f>
        <v>144276652</v>
      </c>
      <c r="M80" s="27">
        <f t="shared" si="14"/>
        <v>3004.9518083979387</v>
      </c>
      <c r="N80" s="27">
        <f t="shared" si="15"/>
        <v>7927.4207994998405</v>
      </c>
      <c r="O80" s="27">
        <f t="shared" si="16"/>
        <v>48005.229092417532</v>
      </c>
      <c r="P80" s="27">
        <f>O80+$E$87</f>
        <v>26908.435014134229</v>
      </c>
      <c r="Q80" s="27">
        <f t="shared" si="18"/>
        <v>-13169.373278783463</v>
      </c>
      <c r="R80" s="18"/>
    </row>
    <row r="81" spans="1:18">
      <c r="A81" s="113" t="s">
        <v>3</v>
      </c>
      <c r="B81" s="113"/>
      <c r="C81" s="27">
        <f>SUM(C28:C57)</f>
        <v>7301162</v>
      </c>
      <c r="D81" s="17">
        <f>C81/$C$78</f>
        <v>0.75344239998225049</v>
      </c>
      <c r="E81" s="17"/>
      <c r="F81" s="17"/>
      <c r="G81" s="17"/>
      <c r="H81" s="27">
        <f>SUM(H28:H57)</f>
        <v>2088629.7826889995</v>
      </c>
      <c r="I81" s="27">
        <f>SUM(I28:I57)</f>
        <v>562653.73547700001</v>
      </c>
      <c r="J81" s="27">
        <f>SUM(J28:J57)</f>
        <v>1525976.0472120002</v>
      </c>
      <c r="K81" s="27">
        <f>SUM(K28:K57)</f>
        <v>9271909.3472119998</v>
      </c>
      <c r="L81" s="27">
        <f>SUM(L28:L57)</f>
        <v>203348900</v>
      </c>
      <c r="M81" s="27">
        <f t="shared" si="14"/>
        <v>2766.937689247397</v>
      </c>
      <c r="N81" s="27">
        <f t="shared" si="15"/>
        <v>7504.2257283516174</v>
      </c>
      <c r="O81" s="27">
        <f t="shared" si="16"/>
        <v>45596.063451594775</v>
      </c>
      <c r="P81" s="27">
        <f>O81+$E$87</f>
        <v>24499.269373311472</v>
      </c>
      <c r="Q81" s="27">
        <f t="shared" si="18"/>
        <v>-13592.568349931686</v>
      </c>
      <c r="R81" s="18"/>
    </row>
    <row r="82" spans="1:18">
      <c r="A82" s="113" t="s">
        <v>2</v>
      </c>
      <c r="B82" s="113"/>
      <c r="C82" s="27">
        <f>SUM(C28:C67)</f>
        <v>9014425</v>
      </c>
      <c r="D82" s="17">
        <f>C82/$C$78</f>
        <v>0.93024233765255426</v>
      </c>
      <c r="E82" s="17"/>
      <c r="F82" s="17"/>
      <c r="G82" s="17"/>
      <c r="H82" s="27">
        <f>SUM(H28:H67)</f>
        <v>2527073.5596890002</v>
      </c>
      <c r="I82" s="27">
        <f>SUM(I28:I67)</f>
        <v>813391.24847700004</v>
      </c>
      <c r="J82" s="27">
        <f>SUM(J28:J67)</f>
        <v>1713682.311212</v>
      </c>
      <c r="K82" s="27">
        <f>SUM(K28:K67)</f>
        <v>11254904.011211999</v>
      </c>
      <c r="L82" s="27">
        <f>SUM(L28:L67)</f>
        <v>257865867</v>
      </c>
      <c r="M82" s="27">
        <f t="shared" si="14"/>
        <v>3154.3191735298569</v>
      </c>
      <c r="N82" s="27">
        <f t="shared" si="15"/>
        <v>6645.6345353066836</v>
      </c>
      <c r="O82" s="27">
        <f t="shared" si="16"/>
        <v>43646.350492800964</v>
      </c>
      <c r="P82" s="27">
        <f>O82+$E$87</f>
        <v>22549.556414517661</v>
      </c>
      <c r="Q82" s="27">
        <f t="shared" si="18"/>
        <v>-14451.15954297662</v>
      </c>
      <c r="R82" s="18"/>
    </row>
    <row r="83" spans="1:18" ht="24.75" customHeight="1">
      <c r="A83" s="114" t="s">
        <v>205</v>
      </c>
      <c r="B83" s="115"/>
      <c r="C83" s="67" t="s">
        <v>206</v>
      </c>
      <c r="D83" s="18"/>
      <c r="E83" s="18"/>
      <c r="F83" s="18"/>
      <c r="G83" s="18"/>
      <c r="H83" s="18"/>
      <c r="I83" s="18"/>
      <c r="J83" s="18"/>
      <c r="K83" s="18"/>
      <c r="L83" s="18"/>
      <c r="M83" s="18"/>
      <c r="N83" s="18"/>
      <c r="O83" s="18"/>
      <c r="P83" s="18"/>
      <c r="Q83" s="18"/>
      <c r="R83" s="18"/>
    </row>
    <row r="85" spans="1:18">
      <c r="A85" s="35" t="s">
        <v>313</v>
      </c>
      <c r="E85" s="16">
        <v>-5937100</v>
      </c>
      <c r="F85" s="68"/>
      <c r="G85" s="68"/>
    </row>
    <row r="86" spans="1:18">
      <c r="A86" s="35" t="s">
        <v>207</v>
      </c>
      <c r="E86" s="16">
        <v>281421906</v>
      </c>
      <c r="F86" s="68"/>
      <c r="G86" s="68"/>
    </row>
    <row r="87" spans="1:18">
      <c r="A87" s="35" t="s">
        <v>208</v>
      </c>
      <c r="E87" s="16">
        <f>E85*1000000/E86</f>
        <v>-21096.794078283303</v>
      </c>
      <c r="F87" s="68"/>
      <c r="G87" s="68"/>
    </row>
    <row r="89" spans="1:18" ht="12.75" customHeight="1">
      <c r="A89" s="29" t="s">
        <v>209</v>
      </c>
      <c r="B89" s="28"/>
      <c r="C89" s="28"/>
      <c r="D89" s="28"/>
      <c r="E89" s="28"/>
      <c r="F89" s="28"/>
      <c r="G89" s="28"/>
      <c r="H89" s="28"/>
      <c r="I89" s="28"/>
      <c r="J89" s="28"/>
      <c r="K89" s="12"/>
    </row>
    <row r="90" spans="1:18" ht="12.75" customHeight="1">
      <c r="A90" s="29" t="s">
        <v>307</v>
      </c>
      <c r="B90" s="28"/>
      <c r="C90" s="28"/>
      <c r="D90" s="28"/>
      <c r="E90" s="28"/>
      <c r="F90" s="28"/>
      <c r="G90" s="28"/>
      <c r="H90" s="28"/>
      <c r="I90" s="28"/>
      <c r="J90" s="28"/>
      <c r="K90" s="12"/>
    </row>
    <row r="91" spans="1:18">
      <c r="A91" s="116" t="s">
        <v>306</v>
      </c>
      <c r="B91" s="111"/>
      <c r="C91" s="111"/>
      <c r="D91" s="111"/>
      <c r="E91" s="111"/>
      <c r="F91" s="111"/>
      <c r="G91" s="111"/>
      <c r="H91" s="111"/>
      <c r="I91" s="111"/>
      <c r="J91" s="111"/>
      <c r="K91" s="111"/>
      <c r="L91" s="111"/>
      <c r="M91" s="111"/>
    </row>
    <row r="92" spans="1:18">
      <c r="A92" s="84" t="s">
        <v>308</v>
      </c>
      <c r="B92" s="85"/>
      <c r="C92" s="85"/>
      <c r="D92" s="85"/>
      <c r="E92" s="85"/>
      <c r="F92" s="85"/>
      <c r="G92" s="85"/>
      <c r="H92" s="85"/>
      <c r="I92" s="85"/>
      <c r="J92" s="85"/>
      <c r="K92" s="85"/>
      <c r="L92" s="85"/>
      <c r="M92" s="85"/>
    </row>
    <row r="93" spans="1:18">
      <c r="A93" s="84" t="s">
        <v>305</v>
      </c>
      <c r="B93" s="85"/>
      <c r="C93" s="85"/>
      <c r="D93" s="85"/>
      <c r="E93" s="85"/>
      <c r="F93" s="85"/>
      <c r="G93" s="85"/>
      <c r="H93" s="85"/>
      <c r="I93" s="85"/>
      <c r="J93" s="85"/>
      <c r="K93" s="85"/>
      <c r="L93" s="85"/>
      <c r="M93" s="85"/>
    </row>
    <row r="94" spans="1:18">
      <c r="A94" s="69" t="s">
        <v>210</v>
      </c>
      <c r="B94" s="69"/>
      <c r="C94" s="69"/>
      <c r="D94" s="69"/>
      <c r="E94" s="69"/>
      <c r="F94" s="69"/>
      <c r="G94" s="69"/>
      <c r="H94" s="69"/>
      <c r="I94" s="69"/>
      <c r="J94" s="69"/>
      <c r="K94" s="69"/>
      <c r="L94" s="69"/>
      <c r="M94" s="18"/>
    </row>
    <row r="95" spans="1:18">
      <c r="A95" s="69" t="s">
        <v>168</v>
      </c>
      <c r="B95" s="69"/>
      <c r="C95" s="69"/>
      <c r="D95" s="69"/>
      <c r="E95" s="69"/>
      <c r="F95" s="69"/>
      <c r="G95" s="69"/>
      <c r="H95" s="69"/>
      <c r="I95" s="69"/>
      <c r="J95" s="69"/>
      <c r="K95" s="69"/>
      <c r="L95" s="69"/>
      <c r="M95" s="18"/>
    </row>
    <row r="96" spans="1:18">
      <c r="A96" s="111" t="s">
        <v>213</v>
      </c>
      <c r="B96" s="111"/>
      <c r="C96" s="111"/>
      <c r="D96" s="111"/>
      <c r="E96" s="111"/>
      <c r="F96" s="111"/>
      <c r="G96" s="111"/>
      <c r="H96" s="111"/>
      <c r="I96" s="111"/>
      <c r="J96" s="111"/>
      <c r="K96" s="111"/>
      <c r="L96" s="111"/>
      <c r="M96" s="18"/>
    </row>
    <row r="97" spans="1:17">
      <c r="A97" s="111" t="s">
        <v>211</v>
      </c>
      <c r="B97" s="111"/>
      <c r="C97" s="111"/>
      <c r="D97" s="111"/>
      <c r="E97" s="111"/>
      <c r="F97" s="111"/>
      <c r="G97" s="111"/>
      <c r="H97" s="111"/>
      <c r="I97" s="111"/>
      <c r="J97" s="111"/>
      <c r="K97" s="111"/>
      <c r="L97" s="111"/>
      <c r="M97" s="18"/>
    </row>
    <row r="98" spans="1:17">
      <c r="A98" s="112" t="s">
        <v>212</v>
      </c>
      <c r="B98" s="112"/>
      <c r="C98" s="112"/>
      <c r="D98" s="112"/>
      <c r="E98" s="112"/>
      <c r="F98" s="112"/>
      <c r="G98" s="112"/>
      <c r="H98" s="112"/>
      <c r="I98" s="112"/>
      <c r="J98" s="112"/>
      <c r="K98" s="112"/>
      <c r="L98" s="112"/>
      <c r="M98" s="112"/>
      <c r="N98" s="28"/>
      <c r="O98" s="28"/>
      <c r="P98" s="28"/>
      <c r="Q98" s="28"/>
    </row>
    <row r="101" spans="1:17" ht="24">
      <c r="B101" s="70" t="s">
        <v>214</v>
      </c>
      <c r="C101" s="70" t="s">
        <v>215</v>
      </c>
      <c r="D101" s="70" t="s">
        <v>216</v>
      </c>
      <c r="E101" s="71"/>
    </row>
    <row r="102" spans="1:17">
      <c r="B102" s="72">
        <v>2000</v>
      </c>
      <c r="C102" s="73">
        <v>10284.799999999999</v>
      </c>
      <c r="D102" s="73">
        <f>C102*1000</f>
        <v>10284800</v>
      </c>
    </row>
    <row r="103" spans="1:17">
      <c r="B103" s="73" t="s">
        <v>217</v>
      </c>
      <c r="C103" s="73">
        <v>10621.8</v>
      </c>
      <c r="D103" s="73">
        <f t="shared" ref="D103:D119" si="22">C103*1000</f>
        <v>10621800</v>
      </c>
    </row>
    <row r="104" spans="1:17">
      <c r="B104" s="73" t="s">
        <v>218</v>
      </c>
      <c r="C104" s="73">
        <v>10977.5</v>
      </c>
      <c r="D104" s="73">
        <f t="shared" si="22"/>
        <v>10977500</v>
      </c>
    </row>
    <row r="105" spans="1:17">
      <c r="B105" s="73" t="s">
        <v>219</v>
      </c>
      <c r="C105" s="73">
        <v>11510.7</v>
      </c>
      <c r="D105" s="73">
        <f t="shared" si="22"/>
        <v>11510700</v>
      </c>
    </row>
    <row r="106" spans="1:17">
      <c r="B106" s="73" t="s">
        <v>220</v>
      </c>
      <c r="C106" s="73">
        <v>12274.9</v>
      </c>
      <c r="D106" s="73">
        <f t="shared" si="22"/>
        <v>12274900</v>
      </c>
    </row>
    <row r="107" spans="1:17">
      <c r="B107" s="73" t="s">
        <v>221</v>
      </c>
      <c r="C107" s="73">
        <v>13093.7</v>
      </c>
      <c r="D107" s="73">
        <f t="shared" si="22"/>
        <v>13093700</v>
      </c>
    </row>
    <row r="108" spans="1:17">
      <c r="B108" s="73" t="s">
        <v>222</v>
      </c>
      <c r="C108" s="73">
        <v>13855.9</v>
      </c>
      <c r="D108" s="73">
        <f t="shared" si="22"/>
        <v>13855900</v>
      </c>
    </row>
    <row r="109" spans="1:17">
      <c r="B109" s="73" t="s">
        <v>223</v>
      </c>
      <c r="C109" s="73">
        <v>14477.6</v>
      </c>
      <c r="D109" s="73">
        <f t="shared" si="22"/>
        <v>14477600</v>
      </c>
    </row>
    <row r="110" spans="1:17">
      <c r="B110" s="73" t="s">
        <v>224</v>
      </c>
      <c r="C110" s="73">
        <v>14718.6</v>
      </c>
      <c r="D110" s="73">
        <f t="shared" si="22"/>
        <v>14718600</v>
      </c>
    </row>
    <row r="111" spans="1:17">
      <c r="B111" s="73" t="s">
        <v>225</v>
      </c>
      <c r="C111" s="73">
        <v>14418.7</v>
      </c>
      <c r="D111" s="73">
        <f t="shared" si="22"/>
        <v>14418700</v>
      </c>
    </row>
    <row r="112" spans="1:17">
      <c r="B112" s="73" t="s">
        <v>226</v>
      </c>
      <c r="C112" s="73">
        <v>14964.4</v>
      </c>
      <c r="D112" s="73">
        <f t="shared" si="22"/>
        <v>14964400</v>
      </c>
    </row>
    <row r="113" spans="2:4">
      <c r="B113" s="73" t="s">
        <v>227</v>
      </c>
      <c r="C113" s="73">
        <v>15517.9</v>
      </c>
      <c r="D113" s="73">
        <f t="shared" si="22"/>
        <v>15517900</v>
      </c>
    </row>
    <row r="114" spans="2:4">
      <c r="B114" s="73" t="s">
        <v>228</v>
      </c>
      <c r="C114" s="73">
        <v>16155.3</v>
      </c>
      <c r="D114" s="73">
        <f t="shared" si="22"/>
        <v>16155300</v>
      </c>
    </row>
    <row r="115" spans="2:4">
      <c r="B115" s="73" t="s">
        <v>229</v>
      </c>
      <c r="C115" s="73">
        <v>16691.5</v>
      </c>
      <c r="D115" s="73">
        <f t="shared" si="22"/>
        <v>16691500</v>
      </c>
    </row>
    <row r="116" spans="2:4">
      <c r="B116" s="73" t="s">
        <v>230</v>
      </c>
      <c r="C116" s="73">
        <v>17427.599999999999</v>
      </c>
      <c r="D116" s="73">
        <f t="shared" si="22"/>
        <v>17427600</v>
      </c>
    </row>
    <row r="117" spans="2:4">
      <c r="B117" s="73" t="s">
        <v>231</v>
      </c>
      <c r="C117" s="73">
        <v>18120.7</v>
      </c>
      <c r="D117" s="73">
        <f t="shared" si="22"/>
        <v>18120700</v>
      </c>
    </row>
    <row r="118" spans="2:4">
      <c r="B118" s="73" t="s">
        <v>232</v>
      </c>
      <c r="C118" s="73">
        <v>18624.5</v>
      </c>
      <c r="D118" s="73">
        <f t="shared" si="22"/>
        <v>18624500</v>
      </c>
    </row>
    <row r="119" spans="2:4">
      <c r="B119" s="73" t="s">
        <v>233</v>
      </c>
      <c r="C119" s="73">
        <v>19390.599999999999</v>
      </c>
      <c r="D119" s="73">
        <f t="shared" si="22"/>
        <v>19390600</v>
      </c>
    </row>
  </sheetData>
  <sortState ref="B28:Q77">
    <sortCondition descending="1" ref="O28:O77"/>
  </sortState>
  <mergeCells count="21">
    <mergeCell ref="A24:B24"/>
    <mergeCell ref="A2:Q2"/>
    <mergeCell ref="A3:Q3"/>
    <mergeCell ref="A4:Q4"/>
    <mergeCell ref="A6:Q13"/>
    <mergeCell ref="A15:B15"/>
    <mergeCell ref="A16:B16"/>
    <mergeCell ref="A17:B17"/>
    <mergeCell ref="A18:B18"/>
    <mergeCell ref="A21:B21"/>
    <mergeCell ref="A22:B22"/>
    <mergeCell ref="A23:B23"/>
    <mergeCell ref="A96:L96"/>
    <mergeCell ref="A97:L97"/>
    <mergeCell ref="A98:M98"/>
    <mergeCell ref="A79:B79"/>
    <mergeCell ref="A80:B80"/>
    <mergeCell ref="A81:B81"/>
    <mergeCell ref="A82:B82"/>
    <mergeCell ref="A83:B83"/>
    <mergeCell ref="A91:M91"/>
  </mergeCells>
  <printOptions horizontalCentered="1"/>
  <pageMargins left="0.5" right="0.5" top="0.75" bottom="0.75" header="0.3" footer="0.3"/>
  <pageSetup paperSize="9" scale="74" fitToHeight="0" orientation="landscape"/>
  <headerFooter>
    <oddHeader xml:space="preserve">&amp;R&amp;8
</oddHeader>
    <oddFooter>&amp;C&amp;"Arial,Regular"&amp;10&amp;P of &amp;N</oddFooter>
  </headerFooter>
  <rowBreaks count="1" manualBreakCount="1">
    <brk id="25" max="16"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78"/>
  <sheetViews>
    <sheetView showWhiteSpace="0" view="pageBreakPreview" zoomScaleSheetLayoutView="100" workbookViewId="0">
      <selection activeCell="A2" sqref="A2:M2"/>
    </sheetView>
  </sheetViews>
  <sheetFormatPr baseColWidth="10" defaultColWidth="9.1640625" defaultRowHeight="12" x14ac:dyDescent="0"/>
  <cols>
    <col min="1" max="1" width="3.1640625" style="8" customWidth="1"/>
    <col min="2" max="2" width="16.83203125" style="8" customWidth="1"/>
    <col min="3" max="3" width="10.5" style="8" customWidth="1"/>
    <col min="4" max="4" width="12.5" style="8" customWidth="1"/>
    <col min="5" max="5" width="14" style="8" customWidth="1"/>
    <col min="6" max="6" width="17" style="8" customWidth="1"/>
    <col min="7" max="7" width="10.5" style="8" customWidth="1"/>
    <col min="8" max="8" width="11" style="8" customWidth="1"/>
    <col min="9" max="9" width="11.5" style="8" customWidth="1"/>
    <col min="10" max="10" width="16.33203125" style="8" customWidth="1"/>
    <col min="11" max="11" width="10.83203125" style="8" customWidth="1"/>
    <col min="12" max="12" width="15" style="8" customWidth="1"/>
    <col min="13" max="13" width="17.33203125" style="8" customWidth="1"/>
    <col min="14" max="14" width="9.1640625" style="8"/>
    <col min="15" max="15" width="16.1640625" style="8" bestFit="1" customWidth="1"/>
    <col min="16" max="16384" width="9.1640625" style="8"/>
  </cols>
  <sheetData>
    <row r="1" spans="1:16">
      <c r="A1" s="36"/>
      <c r="B1" s="36"/>
      <c r="C1" s="36"/>
      <c r="D1" s="36"/>
      <c r="E1" s="36"/>
      <c r="F1" s="36"/>
      <c r="G1" s="36"/>
      <c r="H1" s="36"/>
      <c r="I1" s="37"/>
      <c r="J1" s="36"/>
      <c r="K1" s="36"/>
      <c r="L1" s="36"/>
      <c r="M1" s="41" t="str">
        <f>'2017 Ranked by GDP'!N1</f>
        <v>Draft 15.01.2019.2130ET</v>
      </c>
    </row>
    <row r="2" spans="1:16" s="38" customFormat="1" ht="17">
      <c r="A2" s="104" t="s">
        <v>163</v>
      </c>
      <c r="B2" s="104"/>
      <c r="C2" s="104"/>
      <c r="D2" s="104"/>
      <c r="E2" s="104"/>
      <c r="F2" s="104"/>
      <c r="G2" s="104"/>
      <c r="H2" s="104"/>
      <c r="I2" s="104"/>
      <c r="J2" s="104"/>
      <c r="K2" s="104"/>
      <c r="L2" s="104"/>
      <c r="M2" s="104"/>
    </row>
    <row r="3" spans="1:16" ht="54" customHeight="1">
      <c r="A3" s="30"/>
      <c r="B3" s="30"/>
      <c r="C3" s="30"/>
      <c r="D3" s="30"/>
      <c r="E3" s="30"/>
      <c r="F3" s="30"/>
      <c r="G3" s="30"/>
      <c r="H3" s="30"/>
      <c r="I3" s="86"/>
      <c r="J3" s="36"/>
      <c r="K3" s="36"/>
      <c r="L3" s="36"/>
      <c r="M3" s="36"/>
    </row>
    <row r="4" spans="1:16" s="39" customFormat="1" ht="17">
      <c r="A4" s="105" t="s">
        <v>323</v>
      </c>
      <c r="B4" s="106"/>
      <c r="C4" s="106"/>
      <c r="D4" s="106"/>
      <c r="E4" s="106"/>
      <c r="F4" s="106"/>
      <c r="G4" s="106"/>
      <c r="H4" s="106"/>
      <c r="I4" s="106"/>
      <c r="J4" s="106"/>
      <c r="K4" s="106"/>
      <c r="L4" s="106"/>
      <c r="M4" s="106"/>
    </row>
    <row r="5" spans="1:16" ht="15" customHeight="1">
      <c r="A5" s="49"/>
      <c r="B5" s="49"/>
      <c r="C5" s="49"/>
      <c r="D5" s="49"/>
      <c r="E5" s="49"/>
      <c r="F5" s="49"/>
      <c r="G5" s="49"/>
      <c r="H5" s="49"/>
      <c r="I5" s="49"/>
      <c r="J5" s="49"/>
      <c r="K5" s="49"/>
      <c r="L5" s="49"/>
      <c r="M5" s="49"/>
    </row>
    <row r="6" spans="1:16" ht="72">
      <c r="A6" s="109"/>
      <c r="B6" s="110"/>
      <c r="C6" s="50" t="s">
        <v>317</v>
      </c>
      <c r="D6" s="51" t="s">
        <v>185</v>
      </c>
      <c r="E6" s="51" t="s">
        <v>186</v>
      </c>
      <c r="F6" s="51" t="s">
        <v>312</v>
      </c>
      <c r="G6" s="51" t="s">
        <v>187</v>
      </c>
      <c r="H6" s="50" t="s">
        <v>167</v>
      </c>
      <c r="I6" s="51" t="s">
        <v>188</v>
      </c>
      <c r="J6" s="51" t="s">
        <v>310</v>
      </c>
      <c r="K6" s="51" t="s">
        <v>189</v>
      </c>
      <c r="L6" s="51" t="s">
        <v>190</v>
      </c>
      <c r="M6" s="51" t="s">
        <v>195</v>
      </c>
    </row>
    <row r="7" spans="1:16" ht="14.25" customHeight="1">
      <c r="A7" s="108" t="s">
        <v>322</v>
      </c>
      <c r="B7" s="108"/>
      <c r="C7" s="27">
        <f>'2017 Ranked by GDP'!C16-'2000 Ranked by GDP'!C16</f>
        <v>9546058</v>
      </c>
      <c r="D7" s="27">
        <f>'2017 Ranked by GDP'!E16-'2000 Ranked by GDP'!H16</f>
        <v>-16666.697689000517</v>
      </c>
      <c r="E7" s="27">
        <f>'2017 Ranked by GDP'!F16-'2000 Ranked by GDP'!I16</f>
        <v>1172149.8955230003</v>
      </c>
      <c r="F7" s="27">
        <f>'2017 Ranked by GDP'!G16-'2000 Ranked by GDP'!J16</f>
        <v>-1188816.5932120003</v>
      </c>
      <c r="G7" s="27">
        <f>'2017 Ranked by GDP'!H16-'2000 Ranked by GDP'!K16</f>
        <v>7804547.8067880142</v>
      </c>
      <c r="H7" s="27">
        <f>'2017 Ranked by GDP'!I16-'2000 Ranked by GDP'!L16</f>
        <v>40864498</v>
      </c>
      <c r="I7" s="27">
        <f>'2017 Ranked by GDP'!J16-'2000 Ranked by GDP'!M16</f>
        <v>3226.4929775191968</v>
      </c>
      <c r="J7" s="27">
        <f>'2017 Ranked by GDP'!K16-'2000 Ranked by GDP'!N16</f>
        <v>-4450.5095927535403</v>
      </c>
      <c r="K7" s="27">
        <f>'2017 Ranked by GDP'!L16-'2000 Ranked by GDP'!O16</f>
        <v>18687.166517130463</v>
      </c>
      <c r="L7" s="27">
        <f>'2017 Ranked by GDP'!M16-'2000 Ranked by GDP'!P16</f>
        <v>-22801.487162031917</v>
      </c>
      <c r="M7" s="27">
        <f>'2017 Ranked by GDP'!N16-'2000 Ranked by GDP'!Q16</f>
        <v>-45939.163271915924</v>
      </c>
      <c r="N7" s="18"/>
    </row>
    <row r="8" spans="1:16">
      <c r="A8" s="108" t="s">
        <v>181</v>
      </c>
      <c r="B8" s="108"/>
      <c r="C8" s="27">
        <f>'2017 Ranked by GDP'!C17-'2000 Ranked by GDP'!C17</f>
        <v>9546058</v>
      </c>
      <c r="D8" s="27">
        <f>'2017 Ranked by GDP'!E17-'2000 Ranked by GDP'!H17</f>
        <v>2569200</v>
      </c>
      <c r="E8" s="27">
        <f>'2017 Ranked by GDP'!F17-'2000 Ranked by GDP'!I17</f>
        <v>17048300</v>
      </c>
      <c r="F8" s="27">
        <f>'2017 Ranked by GDP'!G17-'2000 Ranked by GDP'!J17</f>
        <v>-14479100</v>
      </c>
      <c r="G8" s="27">
        <f>'2017 Ranked by GDP'!H17-'2000 Ranked by GDP'!K17</f>
        <v>4757363</v>
      </c>
      <c r="H8" s="27">
        <f>'2017 Ranked by GDP'!I17-'2000 Ranked by GDP'!L17</f>
        <v>40864498</v>
      </c>
      <c r="I8" s="27">
        <f>'2017 Ranked by GDP'!J17-'2000 Ranked by GDP'!M17</f>
        <v>49422.070305873596</v>
      </c>
      <c r="J8" s="27">
        <f>'2017 Ranked by GDP'!K17-'2000 Ranked by GDP'!N17</f>
        <v>-41920.746605575856</v>
      </c>
      <c r="K8" s="27">
        <f>'2017 Ranked by GDP'!L17-'2000 Ranked by GDP'!O17</f>
        <v>17263.780147712318</v>
      </c>
      <c r="L8" s="59" t="s">
        <v>184</v>
      </c>
      <c r="M8" s="59" t="s">
        <v>184</v>
      </c>
      <c r="N8" s="18"/>
      <c r="O8" s="42"/>
      <c r="P8" s="43"/>
    </row>
    <row r="9" spans="1:16">
      <c r="A9" s="108" t="s">
        <v>182</v>
      </c>
      <c r="B9" s="108"/>
      <c r="C9" s="27">
        <f>'2017 Ranked by GDP'!C18-'2000 Ranked by GDP'!C18</f>
        <v>9546058</v>
      </c>
      <c r="D9" s="27">
        <f>'2017 Ranked by GDP'!E18-'2000 Ranked by GDP'!H18</f>
        <v>2552533.3023109995</v>
      </c>
      <c r="E9" s="27">
        <f>'2017 Ranked by GDP'!F18-'2000 Ranked by GDP'!I18</f>
        <v>18220449.895523004</v>
      </c>
      <c r="F9" s="27">
        <f>'2017 Ranked by GDP'!G18-'2000 Ranked by GDP'!J18</f>
        <v>-15667916.593212001</v>
      </c>
      <c r="G9" s="27">
        <f>'2017 Ranked by GDP'!H18-'2000 Ranked by GDP'!K18</f>
        <v>3568546.406787999</v>
      </c>
      <c r="H9" s="27">
        <f>H7</f>
        <v>40864498</v>
      </c>
      <c r="I9" s="27">
        <f>'2017 Ranked by GDP'!J18-'2000 Ranked by GDP'!M18</f>
        <v>52648.563283392796</v>
      </c>
      <c r="J9" s="27">
        <f>'2017 Ranked by GDP'!K18-'2000 Ranked by GDP'!N18</f>
        <v>-46371.2561983294</v>
      </c>
      <c r="K9" s="27">
        <f>'2017 Ranked by GDP'!L18-'2000 Ranked by GDP'!O18</f>
        <v>12813.270554958775</v>
      </c>
      <c r="L9" s="59" t="s">
        <v>184</v>
      </c>
      <c r="M9" s="59" t="s">
        <v>184</v>
      </c>
      <c r="N9" s="18"/>
    </row>
    <row r="10" spans="1:16" s="29" customFormat="1">
      <c r="A10" s="90" t="s">
        <v>194</v>
      </c>
      <c r="B10" s="91"/>
      <c r="C10" s="91"/>
      <c r="D10" s="58">
        <f>'2017 Ranked by GDP'!E19-'2000 Ranked by GDP'!H19</f>
        <v>0.97761778366544938</v>
      </c>
      <c r="E10" s="58">
        <f>'2017 Ranked by GDP'!F19-'2000 Ranked by GDP'!I19</f>
        <v>3.7906883491360821</v>
      </c>
      <c r="F10" s="55"/>
      <c r="G10" s="53"/>
      <c r="H10" s="53"/>
      <c r="I10" s="53"/>
      <c r="J10" s="53"/>
      <c r="K10" s="53"/>
      <c r="L10" s="56"/>
      <c r="M10" s="56"/>
      <c r="N10" s="57"/>
    </row>
    <row r="11" spans="1:16">
      <c r="A11" s="45"/>
      <c r="B11" s="46"/>
      <c r="C11" s="47"/>
      <c r="D11" s="47"/>
      <c r="E11" s="47"/>
      <c r="F11" s="47"/>
      <c r="G11" s="47"/>
      <c r="H11" s="47"/>
      <c r="I11" s="47"/>
      <c r="J11" s="47"/>
      <c r="K11" s="47"/>
      <c r="L11" s="47"/>
      <c r="M11" s="47"/>
      <c r="N11" s="18"/>
    </row>
    <row r="12" spans="1:16">
      <c r="A12" s="102" t="s">
        <v>1</v>
      </c>
      <c r="B12" s="102"/>
      <c r="C12" s="27">
        <f>'2017 Ranked by GDP'!C21-'2000 Ranked by GDP'!C21</f>
        <v>5559606</v>
      </c>
      <c r="D12" s="27">
        <f>'2017 Ranked by GDP'!E21-'2000 Ranked by GDP'!H21</f>
        <v>-175007.97399999993</v>
      </c>
      <c r="E12" s="27">
        <f>'2017 Ranked by GDP'!F21-'2000 Ranked by GDP'!I21</f>
        <v>742040.04900000012</v>
      </c>
      <c r="F12" s="27">
        <f>'2017 Ranked by GDP'!G21-'2000 Ranked by GDP'!J21</f>
        <v>-917048.02300000004</v>
      </c>
      <c r="G12" s="27">
        <f>'2017 Ranked by GDP'!H21-'2000 Ranked by GDP'!K21</f>
        <v>4226288.0770000005</v>
      </c>
      <c r="H12" s="27">
        <f>'2017 Ranked by GDP'!I21-'2000 Ranked by GDP'!L21</f>
        <v>22137914</v>
      </c>
      <c r="I12" s="27">
        <f>'2017 Ranked by GDP'!J21-'2000 Ranked by GDP'!M21</f>
        <v>3823.4614516917745</v>
      </c>
      <c r="J12" s="27">
        <f>'2017 Ranked by GDP'!K21-'2000 Ranked by GDP'!N21</f>
        <v>-6120.383925789266</v>
      </c>
      <c r="K12" s="27">
        <f>'2017 Ranked by GDP'!L21-'2000 Ranked by GDP'!O21</f>
        <v>18761.720755587281</v>
      </c>
      <c r="L12" s="27">
        <f>'2017 Ranked by GDP'!M21-'2000 Ranked by GDP'!P21</f>
        <v>-22726.932923575099</v>
      </c>
      <c r="M12" s="27">
        <f>'2017 Ranked by GDP'!N21-'2000 Ranked by GDP'!Q21</f>
        <v>-47609.037604951649</v>
      </c>
      <c r="N12" s="18"/>
    </row>
    <row r="13" spans="1:16">
      <c r="A13" s="103" t="s">
        <v>4</v>
      </c>
      <c r="B13" s="103"/>
      <c r="C13" s="27">
        <f>'2017 Ranked by GDP'!C22-'2000 Ranked by GDP'!C22</f>
        <v>7608393</v>
      </c>
      <c r="D13" s="27">
        <f>'2017 Ranked by GDP'!E22-'2000 Ranked by GDP'!H22</f>
        <v>-164898.61899999995</v>
      </c>
      <c r="E13" s="27">
        <f>'2017 Ranked by GDP'!F22-'2000 Ranked by GDP'!I22</f>
        <v>915679.74000000022</v>
      </c>
      <c r="F13" s="27">
        <f>'2017 Ranked by GDP'!G22-'2000 Ranked by GDP'!J22</f>
        <v>-1080578.3589999999</v>
      </c>
      <c r="G13" s="27">
        <f>'2017 Ranked by GDP'!H22-'2000 Ranked by GDP'!K22</f>
        <v>6052783.7410000023</v>
      </c>
      <c r="H13" s="27">
        <f>'2017 Ranked by GDP'!I22-'2000 Ranked by GDP'!L22</f>
        <v>32144397</v>
      </c>
      <c r="I13" s="27">
        <f>'2017 Ranked by GDP'!J22-'2000 Ranked by GDP'!M22</f>
        <v>3298.4495860046295</v>
      </c>
      <c r="J13" s="27">
        <f>'2017 Ranked by GDP'!K22-'2000 Ranked by GDP'!N22</f>
        <v>-5197.6007119999031</v>
      </c>
      <c r="K13" s="27">
        <f>'2017 Ranked by GDP'!L22-'2000 Ranked by GDP'!O22</f>
        <v>18892.781420553241</v>
      </c>
      <c r="L13" s="27">
        <f>'2017 Ranked by GDP'!M22-'2000 Ranked by GDP'!P22</f>
        <v>-22595.872258609139</v>
      </c>
      <c r="M13" s="27">
        <f>'2017 Ranked by GDP'!N22-'2000 Ranked by GDP'!Q22</f>
        <v>-46686.254391162285</v>
      </c>
      <c r="N13" s="18"/>
    </row>
    <row r="14" spans="1:16">
      <c r="A14" s="103" t="s">
        <v>3</v>
      </c>
      <c r="B14" s="103"/>
      <c r="C14" s="27">
        <f>'2017 Ranked by GDP'!C23-'2000 Ranked by GDP'!C23</f>
        <v>8693005</v>
      </c>
      <c r="D14" s="27">
        <f>'2017 Ranked by GDP'!E23-'2000 Ranked by GDP'!H23</f>
        <v>-126551.52899999963</v>
      </c>
      <c r="E14" s="27">
        <f>'2017 Ranked by GDP'!F23-'2000 Ranked by GDP'!I23</f>
        <v>1085720.2390000001</v>
      </c>
      <c r="F14" s="27">
        <f>'2017 Ranked by GDP'!G23-'2000 Ranked by GDP'!J23</f>
        <v>-1212271.7680000002</v>
      </c>
      <c r="G14" s="27">
        <f>'2017 Ranked by GDP'!H23-'2000 Ranked by GDP'!K23</f>
        <v>6955082.0320000034</v>
      </c>
      <c r="H14" s="27">
        <f>'2017 Ranked by GDP'!I23-'2000 Ranked by GDP'!L23</f>
        <v>36450011</v>
      </c>
      <c r="I14" s="27">
        <f>'2017 Ranked by GDP'!J23-'2000 Ranked by GDP'!M23</f>
        <v>3338.4870911615021</v>
      </c>
      <c r="J14" s="27">
        <f>'2017 Ranked by GDP'!K23-'2000 Ranked by GDP'!N23</f>
        <v>-4912.9679654079191</v>
      </c>
      <c r="K14" s="27">
        <f>'2017 Ranked by GDP'!L23-'2000 Ranked by GDP'!O23</f>
        <v>18501.963442397748</v>
      </c>
      <c r="L14" s="27">
        <f>'2017 Ranked by GDP'!M23-'2000 Ranked by GDP'!P23</f>
        <v>-22986.690236764633</v>
      </c>
      <c r="M14" s="27">
        <f>'2017 Ranked by GDP'!N23-'2000 Ranked by GDP'!Q23</f>
        <v>-46401.621644570303</v>
      </c>
      <c r="N14" s="18"/>
    </row>
    <row r="15" spans="1:16">
      <c r="A15" s="103" t="s">
        <v>2</v>
      </c>
      <c r="B15" s="103"/>
      <c r="C15" s="27">
        <f>'2017 Ranked by GDP'!C24-'2000 Ranked by GDP'!C24</f>
        <v>9278790</v>
      </c>
      <c r="D15" s="27">
        <f>'2017 Ranked by GDP'!E24-'2000 Ranked by GDP'!H24</f>
        <v>-98026.681000000332</v>
      </c>
      <c r="E15" s="27">
        <f>'2017 Ranked by GDP'!F24-'2000 Ranked by GDP'!I24</f>
        <v>1137844.9950000003</v>
      </c>
      <c r="F15" s="27">
        <f>'2017 Ranked by GDP'!G24-'2000 Ranked by GDP'!J24</f>
        <v>-1235871.6760000004</v>
      </c>
      <c r="G15" s="27">
        <f>'2017 Ranked by GDP'!H24-'2000 Ranked by GDP'!K24</f>
        <v>7498752.2240000088</v>
      </c>
      <c r="H15" s="27">
        <f>'2017 Ranked by GDP'!I24-'2000 Ranked by GDP'!L24</f>
        <v>39626098</v>
      </c>
      <c r="I15" s="27">
        <f>'2017 Ranked by GDP'!J24-'2000 Ranked by GDP'!M24</f>
        <v>3228.4743242903505</v>
      </c>
      <c r="J15" s="27">
        <f>'2017 Ranked by GDP'!K24-'2000 Ranked by GDP'!N24</f>
        <v>-4691.1367037293976</v>
      </c>
      <c r="K15" s="27">
        <f>'2017 Ranked by GDP'!L24-'2000 Ranked by GDP'!O24</f>
        <v>18466.819246220577</v>
      </c>
      <c r="L15" s="27">
        <f>'2017 Ranked by GDP'!M24-'2000 Ranked by GDP'!P24</f>
        <v>-23021.834432941803</v>
      </c>
      <c r="M15" s="27">
        <f>'2017 Ranked by GDP'!N24-'2000 Ranked by GDP'!Q24</f>
        <v>-46179.790382891777</v>
      </c>
      <c r="N15" s="18"/>
    </row>
    <row r="16" spans="1:16" ht="15" customHeight="1">
      <c r="A16" s="83"/>
      <c r="B16" s="83"/>
      <c r="C16" s="83"/>
      <c r="D16" s="83"/>
      <c r="E16" s="83"/>
      <c r="F16" s="83"/>
      <c r="G16" s="83"/>
      <c r="H16" s="83"/>
      <c r="I16" s="83"/>
      <c r="J16" s="83"/>
      <c r="K16" s="83"/>
      <c r="L16" s="83"/>
      <c r="M16" s="83"/>
    </row>
    <row r="17" spans="1:14" ht="13" thickBot="1">
      <c r="A17" s="33"/>
      <c r="B17" s="33"/>
      <c r="C17" s="33"/>
      <c r="D17" s="33"/>
      <c r="E17" s="33"/>
      <c r="F17" s="33"/>
      <c r="G17" s="33"/>
      <c r="H17" s="33"/>
      <c r="I17" s="33"/>
      <c r="J17" s="33"/>
      <c r="K17" s="33"/>
      <c r="L17" s="33"/>
      <c r="M17" s="33"/>
    </row>
    <row r="18" spans="1:14" ht="72">
      <c r="A18" s="11" t="s">
        <v>45</v>
      </c>
      <c r="B18" s="11" t="s">
        <v>165</v>
      </c>
      <c r="C18" s="50" t="s">
        <v>166</v>
      </c>
      <c r="D18" s="51" t="s">
        <v>185</v>
      </c>
      <c r="E18" s="51" t="s">
        <v>186</v>
      </c>
      <c r="F18" s="51" t="s">
        <v>192</v>
      </c>
      <c r="G18" s="51" t="s">
        <v>187</v>
      </c>
      <c r="H18" s="50" t="s">
        <v>167</v>
      </c>
      <c r="I18" s="51" t="s">
        <v>188</v>
      </c>
      <c r="J18" s="51" t="s">
        <v>310</v>
      </c>
      <c r="K18" s="51" t="s">
        <v>189</v>
      </c>
      <c r="L18" s="51" t="s">
        <v>190</v>
      </c>
      <c r="M18" s="51" t="s">
        <v>195</v>
      </c>
    </row>
    <row r="19" spans="1:14">
      <c r="A19" s="14">
        <v>1</v>
      </c>
      <c r="B19" s="15" t="s">
        <v>46</v>
      </c>
      <c r="C19" s="27">
        <f>'2017 Ranked by GDP'!C28-'2000 Ranked by GDP'!C28</f>
        <v>1510456</v>
      </c>
      <c r="D19" s="16">
        <f>'2017 Ranked by GDP'!E28-'2000 Ranked by GDP'!H28</f>
        <v>-200983.63400000002</v>
      </c>
      <c r="E19" s="16">
        <f>'2017 Ranked by GDP'!F28-'2000 Ranked by GDP'!I28</f>
        <v>170132.44099999999</v>
      </c>
      <c r="F19" s="16">
        <f>'2017 Ranked by GDP'!G28-'2000 Ranked by GDP'!J28</f>
        <v>-371116.07500000001</v>
      </c>
      <c r="G19" s="16">
        <f>'2017 Ranked by GDP'!H28-'2000 Ranked by GDP'!K28</f>
        <v>1139339.9249999998</v>
      </c>
      <c r="H19" s="16">
        <f>'2017 Ranked by GDP'!I28-'2000 Ranked by GDP'!L28</f>
        <v>5665005</v>
      </c>
      <c r="I19" s="16">
        <f>'2017 Ranked by GDP'!J28-'2000 Ranked by GDP'!M28</f>
        <v>3789.1928129441567</v>
      </c>
      <c r="J19" s="16">
        <f>'2017 Ranked by GDP'!K28-'2000 Ranked by GDP'!N28</f>
        <v>-10866.258356202139</v>
      </c>
      <c r="K19" s="16">
        <f>'2017 Ranked by GDP'!L28-'2000 Ranked by GDP'!O28</f>
        <v>21892.763193562874</v>
      </c>
      <c r="L19" s="16">
        <f>'2017 Ranked by GDP'!M28-'2000 Ranked by GDP'!P28</f>
        <v>-19595.890485599506</v>
      </c>
      <c r="M19" s="16">
        <f>'2017 Ranked by GDP'!N28-'2000 Ranked by GDP'!Q28</f>
        <v>-52354.912035364519</v>
      </c>
      <c r="N19" s="18"/>
    </row>
    <row r="20" spans="1:14">
      <c r="A20" s="14">
        <v>2</v>
      </c>
      <c r="B20" s="15" t="s">
        <v>53</v>
      </c>
      <c r="C20" s="27">
        <f>'2017 Ranked by GDP'!C29-'2000 Ranked by GDP'!C29</f>
        <v>917903</v>
      </c>
      <c r="D20" s="16">
        <f>'2017 Ranked by GDP'!E29-'2000 Ranked by GDP'!H29</f>
        <v>187481.36900000001</v>
      </c>
      <c r="E20" s="16">
        <f>'2017 Ranked by GDP'!F29-'2000 Ranked by GDP'!I29</f>
        <v>114667.71599999999</v>
      </c>
      <c r="F20" s="16">
        <f>'2017 Ranked by GDP'!G29-'2000 Ranked by GDP'!J29</f>
        <v>72813.65300000002</v>
      </c>
      <c r="G20" s="16">
        <f>'2017 Ranked by GDP'!H29-'2000 Ranked by GDP'!K29</f>
        <v>930691.85299999989</v>
      </c>
      <c r="H20" s="16">
        <f>'2017 Ranked by GDP'!I29-'2000 Ranked by GDP'!L29</f>
        <v>6629915</v>
      </c>
      <c r="I20" s="16">
        <f>'2017 Ranked by GDP'!J29-'2000 Ranked by GDP'!M29</f>
        <v>3636.6656696384298</v>
      </c>
      <c r="J20" s="16">
        <f>'2017 Ranked by GDP'!K29-'2000 Ranked by GDP'!N29</f>
        <v>1547.2373236995918</v>
      </c>
      <c r="K20" s="16">
        <f>'2017 Ranked by GDP'!L29-'2000 Ranked by GDP'!O29</f>
        <v>23348.271861268062</v>
      </c>
      <c r="L20" s="16">
        <f>'2017 Ranked by GDP'!M29-'2000 Ranked by GDP'!P29</f>
        <v>-18140.381817894318</v>
      </c>
      <c r="M20" s="16">
        <f>'2017 Ranked by GDP'!N29-'2000 Ranked by GDP'!Q29</f>
        <v>-39941.416355462788</v>
      </c>
      <c r="N20" s="18"/>
    </row>
    <row r="21" spans="1:14">
      <c r="A21" s="14">
        <v>3</v>
      </c>
      <c r="B21" s="15" t="s">
        <v>54</v>
      </c>
      <c r="C21" s="27">
        <f>'2017 Ranked by GDP'!C30-'2000 Ranked by GDP'!C30</f>
        <v>829444</v>
      </c>
      <c r="D21" s="16">
        <f>'2017 Ranked by GDP'!E30-'2000 Ranked by GDP'!H30</f>
        <v>57038</v>
      </c>
      <c r="E21" s="16">
        <f>'2017 Ranked by GDP'!F30-'2000 Ranked by GDP'!I30</f>
        <v>73022</v>
      </c>
      <c r="F21" s="16">
        <f>'2017 Ranked by GDP'!G30-'2000 Ranked by GDP'!J30</f>
        <v>-15984</v>
      </c>
      <c r="G21" s="16">
        <f>'2017 Ranked by GDP'!H30-'2000 Ranked by GDP'!K30</f>
        <v>540624</v>
      </c>
      <c r="H21" s="16">
        <f>'2017 Ranked by GDP'!I30-'2000 Ranked by GDP'!L30</f>
        <v>659284</v>
      </c>
      <c r="I21" s="16">
        <f>'2017 Ranked by GDP'!J30-'2000 Ranked by GDP'!M30</f>
        <v>3561.4063960273411</v>
      </c>
      <c r="J21" s="16">
        <f>'2017 Ranked by GDP'!K30-'2000 Ranked by GDP'!N30</f>
        <v>-882.9697996678583</v>
      </c>
      <c r="K21" s="16">
        <f>'2017 Ranked by GDP'!L30-'2000 Ranked by GDP'!O30</f>
        <v>25341.253648801307</v>
      </c>
      <c r="L21" s="16">
        <f>'2017 Ranked by GDP'!M30-'2000 Ranked by GDP'!P30</f>
        <v>-16147.400030361074</v>
      </c>
      <c r="M21" s="16">
        <f>'2017 Ranked by GDP'!N30-'2000 Ranked by GDP'!Q30</f>
        <v>-42371.623478830239</v>
      </c>
      <c r="N21" s="18"/>
    </row>
    <row r="22" spans="1:14">
      <c r="A22" s="14">
        <v>4</v>
      </c>
      <c r="B22" s="15" t="s">
        <v>47</v>
      </c>
      <c r="C22" s="27">
        <f>'2017 Ranked by GDP'!C31-'2000 Ranked by GDP'!C31</f>
        <v>505070</v>
      </c>
      <c r="D22" s="16">
        <f>'2017 Ranked by GDP'!E31-'2000 Ranked by GDP'!H31</f>
        <v>-50391.831000000006</v>
      </c>
      <c r="E22" s="16">
        <f>'2017 Ranked by GDP'!F31-'2000 Ranked by GDP'!I31</f>
        <v>3361.1709999999948</v>
      </c>
      <c r="F22" s="16">
        <f>'2017 Ranked by GDP'!G31-'2000 Ranked by GDP'!J31</f>
        <v>-53753.002000000008</v>
      </c>
      <c r="G22" s="16">
        <f>'2017 Ranked by GDP'!H31-'2000 Ranked by GDP'!K31</f>
        <v>451316.99799999991</v>
      </c>
      <c r="H22" s="16">
        <f>'2017 Ranked by GDP'!I31-'2000 Ranked by GDP'!L31</f>
        <v>5002022</v>
      </c>
      <c r="I22" s="16">
        <f>'2017 Ranked by GDP'!J31-'2000 Ranked by GDP'!M31</f>
        <v>-645.6835575104169</v>
      </c>
      <c r="J22" s="16">
        <f>'2017 Ranked by GDP'!K31-'2000 Ranked by GDP'!N31</f>
        <v>-4803.8250397191759</v>
      </c>
      <c r="K22" s="16">
        <f>'2017 Ranked by GDP'!L31-'2000 Ranked by GDP'!O31</f>
        <v>12235.581639275151</v>
      </c>
      <c r="L22" s="16">
        <f>'2017 Ranked by GDP'!M31-'2000 Ranked by GDP'!P31</f>
        <v>-29253.072039887229</v>
      </c>
      <c r="M22" s="16">
        <f>'2017 Ranked by GDP'!N31-'2000 Ranked by GDP'!Q31</f>
        <v>-46292.478718881554</v>
      </c>
      <c r="N22" s="18"/>
    </row>
    <row r="23" spans="1:14">
      <c r="A23" s="14">
        <v>5</v>
      </c>
      <c r="B23" s="15" t="s">
        <v>48</v>
      </c>
      <c r="C23" s="27">
        <f>'2017 Ranked by GDP'!C32-'2000 Ranked by GDP'!C32</f>
        <v>358346</v>
      </c>
      <c r="D23" s="16">
        <f>'2017 Ranked by GDP'!E32-'2000 Ranked by GDP'!H32</f>
        <v>-24400.15400000001</v>
      </c>
      <c r="E23" s="16">
        <f>'2017 Ranked by GDP'!F32-'2000 Ranked by GDP'!I32</f>
        <v>177564.65700000001</v>
      </c>
      <c r="F23" s="16">
        <f>'2017 Ranked by GDP'!G32-'2000 Ranked by GDP'!J32</f>
        <v>-201964.81100000002</v>
      </c>
      <c r="G23" s="16">
        <f>'2017 Ranked by GDP'!H32-'2000 Ranked by GDP'!K32</f>
        <v>156381.18900000001</v>
      </c>
      <c r="H23" s="16">
        <f>'2017 Ranked by GDP'!I32-'2000 Ranked by GDP'!L32</f>
        <v>382730</v>
      </c>
      <c r="I23" s="16">
        <f>'2017 Ranked by GDP'!J32-'2000 Ranked by GDP'!M32</f>
        <v>13773.974284740083</v>
      </c>
      <c r="J23" s="16">
        <f>'2017 Ranked by GDP'!K32-'2000 Ranked by GDP'!N32</f>
        <v>-15933.384784166972</v>
      </c>
      <c r="K23" s="16">
        <f>'2017 Ranked by GDP'!L32-'2000 Ranked by GDP'!O32</f>
        <v>10940.552232557733</v>
      </c>
      <c r="L23" s="16">
        <f>'2017 Ranked by GDP'!M32-'2000 Ranked by GDP'!P32</f>
        <v>-30548.101446604647</v>
      </c>
      <c r="M23" s="16">
        <f>'2017 Ranked by GDP'!N32-'2000 Ranked by GDP'!Q32</f>
        <v>-57422.038463329351</v>
      </c>
      <c r="N23" s="18"/>
    </row>
    <row r="24" spans="1:14">
      <c r="A24" s="14">
        <v>6</v>
      </c>
      <c r="B24" s="15" t="s">
        <v>49</v>
      </c>
      <c r="C24" s="27">
        <f>'2017 Ranked by GDP'!C33-'2000 Ranked by GDP'!C33</f>
        <v>366650</v>
      </c>
      <c r="D24" s="16">
        <f>'2017 Ranked by GDP'!E33-'2000 Ranked by GDP'!H33</f>
        <v>33375.823000000004</v>
      </c>
      <c r="E24" s="16">
        <f>'2017 Ranked by GDP'!F33-'2000 Ranked by GDP'!I33</f>
        <v>41431.527999999998</v>
      </c>
      <c r="F24" s="16">
        <f>'2017 Ranked by GDP'!G33-'2000 Ranked by GDP'!J33</f>
        <v>-8055.7049999999945</v>
      </c>
      <c r="G24" s="16">
        <f>'2017 Ranked by GDP'!H33-'2000 Ranked by GDP'!K33</f>
        <v>311227.79500000004</v>
      </c>
      <c r="H24" s="16">
        <f>'2017 Ranked by GDP'!I33-'2000 Ranked by GDP'!L33</f>
        <v>470547</v>
      </c>
      <c r="I24" s="16">
        <f>'2017 Ranked by GDP'!J33-'2000 Ranked by GDP'!M33</f>
        <v>3187.3251693273278</v>
      </c>
      <c r="J24" s="16">
        <f>'2017 Ranked by GDP'!K33-'2000 Ranked by GDP'!N33</f>
        <v>-692.26382170892362</v>
      </c>
      <c r="K24" s="16">
        <f>'2017 Ranked by GDP'!L33-'2000 Ranked by GDP'!O33</f>
        <v>22939.206501702996</v>
      </c>
      <c r="L24" s="16">
        <f>'2017 Ranked by GDP'!M33-'2000 Ranked by GDP'!P33</f>
        <v>-18549.447177459384</v>
      </c>
      <c r="M24" s="16">
        <f>'2017 Ranked by GDP'!N33-'2000 Ranked by GDP'!Q33</f>
        <v>-42180.917500871306</v>
      </c>
      <c r="N24" s="18"/>
    </row>
    <row r="25" spans="1:14">
      <c r="A25" s="14">
        <v>7</v>
      </c>
      <c r="B25" s="15" t="s">
        <v>50</v>
      </c>
      <c r="C25" s="27">
        <f>'2017 Ranked by GDP'!C34-'2000 Ranked by GDP'!C34</f>
        <v>273741</v>
      </c>
      <c r="D25" s="16">
        <f>'2017 Ranked by GDP'!E34-'2000 Ranked by GDP'!H34</f>
        <v>-111896.575</v>
      </c>
      <c r="E25" s="16">
        <f>'2017 Ranked by GDP'!F34-'2000 Ranked by GDP'!I34</f>
        <v>-114344.073</v>
      </c>
      <c r="F25" s="16">
        <f>'2017 Ranked by GDP'!G34-'2000 Ranked by GDP'!J34</f>
        <v>2447.4979999999996</v>
      </c>
      <c r="G25" s="16">
        <f>'2017 Ranked by GDP'!H34-'2000 Ranked by GDP'!K34</f>
        <v>276188.49800000002</v>
      </c>
      <c r="H25" s="16">
        <f>'2017 Ranked by GDP'!I34-'2000 Ranked by GDP'!L34</f>
        <v>305469</v>
      </c>
      <c r="I25" s="16">
        <f>'2017 Ranked by GDP'!J34-'2000 Ranked by GDP'!M34</f>
        <v>-10196.644961483451</v>
      </c>
      <c r="J25" s="16">
        <f>'2017 Ranked by GDP'!K34-'2000 Ranked by GDP'!N34</f>
        <v>147.01900047101435</v>
      </c>
      <c r="K25" s="16">
        <f>'2017 Ranked by GDP'!L34-'2000 Ranked by GDP'!O34</f>
        <v>22768.221941039978</v>
      </c>
      <c r="L25" s="16">
        <f>'2017 Ranked by GDP'!M34-'2000 Ranked by GDP'!P34</f>
        <v>-18720.431738122403</v>
      </c>
      <c r="M25" s="16">
        <f>'2017 Ranked by GDP'!N34-'2000 Ranked by GDP'!Q34</f>
        <v>-41341.634678691364</v>
      </c>
      <c r="N25" s="18"/>
    </row>
    <row r="26" spans="1:14">
      <c r="A26" s="14">
        <v>8</v>
      </c>
      <c r="B26" s="15" t="s">
        <v>51</v>
      </c>
      <c r="C26" s="27">
        <f>'2017 Ranked by GDP'!C35-'2000 Ranked by GDP'!C35</f>
        <v>257245</v>
      </c>
      <c r="D26" s="16">
        <f>'2017 Ranked by GDP'!E35-'2000 Ranked by GDP'!H35</f>
        <v>-51921.138000000006</v>
      </c>
      <c r="E26" s="16">
        <f>'2017 Ranked by GDP'!F35-'2000 Ranked by GDP'!I35</f>
        <v>185984.22700000001</v>
      </c>
      <c r="F26" s="16">
        <f>'2017 Ranked by GDP'!G35-'2000 Ranked by GDP'!J35</f>
        <v>-237905.36500000002</v>
      </c>
      <c r="G26" s="16">
        <f>'2017 Ranked by GDP'!H35-'2000 Ranked by GDP'!K35</f>
        <v>19339.635000000009</v>
      </c>
      <c r="H26" s="16">
        <f>'2017 Ranked by GDP'!I35-'2000 Ranked by GDP'!L35</f>
        <v>591294</v>
      </c>
      <c r="I26" s="16">
        <f>'2017 Ranked by GDP'!J35-'2000 Ranked by GDP'!M35</f>
        <v>20493.403696147663</v>
      </c>
      <c r="J26" s="16">
        <f>'2017 Ranked by GDP'!K35-'2000 Ranked by GDP'!N35</f>
        <v>-27239.148100107341</v>
      </c>
      <c r="K26" s="16">
        <f>'2017 Ranked by GDP'!L35-'2000 Ranked by GDP'!O35</f>
        <v>-1364.9857171880067</v>
      </c>
      <c r="L26" s="16">
        <f>'2017 Ranked by GDP'!M35-'2000 Ranked by GDP'!P35</f>
        <v>-42853.639396350387</v>
      </c>
      <c r="M26" s="16">
        <f>'2017 Ranked by GDP'!N35-'2000 Ranked by GDP'!Q35</f>
        <v>-68727.801779269721</v>
      </c>
      <c r="N26" s="18"/>
    </row>
    <row r="27" spans="1:14">
      <c r="A27" s="14">
        <v>9</v>
      </c>
      <c r="B27" s="15" t="s">
        <v>52</v>
      </c>
      <c r="C27" s="27">
        <f>'2017 Ranked by GDP'!C36-'2000 Ranked by GDP'!C36</f>
        <v>272721</v>
      </c>
      <c r="D27" s="16">
        <f>'2017 Ranked by GDP'!E36-'2000 Ranked by GDP'!H36</f>
        <v>26482.165999999997</v>
      </c>
      <c r="E27" s="16">
        <f>'2017 Ranked by GDP'!F36-'2000 Ranked by GDP'!I36</f>
        <v>23447.381999999998</v>
      </c>
      <c r="F27" s="16">
        <f>'2017 Ranked by GDP'!G36-'2000 Ranked by GDP'!J36</f>
        <v>3034.7839999999997</v>
      </c>
      <c r="G27" s="16">
        <f>'2017 Ranked by GDP'!H36-'2000 Ranked by GDP'!K36</f>
        <v>239713.18400000001</v>
      </c>
      <c r="H27" s="16">
        <f>'2017 Ranked by GDP'!I36-'2000 Ranked by GDP'!L36</f>
        <v>1920926</v>
      </c>
      <c r="I27" s="16">
        <f>'2017 Ranked by GDP'!J36-'2000 Ranked by GDP'!M36</f>
        <v>2030.0229445804596</v>
      </c>
      <c r="J27" s="16">
        <f>'2017 Ranked by GDP'!K36-'2000 Ranked by GDP'!N36</f>
        <v>-169.47328176511974</v>
      </c>
      <c r="K27" s="16">
        <f>'2017 Ranked by GDP'!L36-'2000 Ranked by GDP'!O36</f>
        <v>15446.850406088306</v>
      </c>
      <c r="L27" s="16">
        <f>'2017 Ranked by GDP'!M36-'2000 Ranked by GDP'!P36</f>
        <v>-26041.803273074074</v>
      </c>
      <c r="M27" s="16">
        <f>'2017 Ranked by GDP'!N36-'2000 Ranked by GDP'!Q36</f>
        <v>-41658.126960927504</v>
      </c>
      <c r="N27" s="18"/>
    </row>
    <row r="28" spans="1:14">
      <c r="A28" s="14">
        <v>10</v>
      </c>
      <c r="B28" s="15" t="s">
        <v>71</v>
      </c>
      <c r="C28" s="27">
        <f>'2017 Ranked by GDP'!C37-'2000 Ranked by GDP'!C37</f>
        <v>268030</v>
      </c>
      <c r="D28" s="16">
        <f>'2017 Ranked by GDP'!E37-'2000 Ranked by GDP'!H37</f>
        <v>-39792</v>
      </c>
      <c r="E28" s="16">
        <f>'2017 Ranked by GDP'!F37-'2000 Ranked by GDP'!I37</f>
        <v>66773</v>
      </c>
      <c r="F28" s="16">
        <f>'2017 Ranked by GDP'!G37-'2000 Ranked by GDP'!J37</f>
        <v>-106565</v>
      </c>
      <c r="G28" s="16">
        <f>'2017 Ranked by GDP'!H37-'2000 Ranked by GDP'!K37</f>
        <v>161465</v>
      </c>
      <c r="H28" s="16">
        <f>'2017 Ranked by GDP'!I37-'2000 Ranked by GDP'!L37</f>
        <v>510722</v>
      </c>
      <c r="I28" s="16">
        <f>'2017 Ranked by GDP'!J37-'2000 Ranked by GDP'!M37</f>
        <v>9388.6502317804352</v>
      </c>
      <c r="J28" s="16">
        <f>'2017 Ranked by GDP'!K37-'2000 Ranked by GDP'!N37</f>
        <v>-16112.302576015565</v>
      </c>
      <c r="K28" s="16">
        <f>'2017 Ranked by GDP'!L37-'2000 Ranked by GDP'!O37</f>
        <v>19736.030279519175</v>
      </c>
      <c r="L28" s="16">
        <f>'2017 Ranked by GDP'!M37-'2000 Ranked by GDP'!P37</f>
        <v>-21752.623399643206</v>
      </c>
      <c r="M28" s="16">
        <f>'2017 Ranked by GDP'!N37-'2000 Ranked by GDP'!Q37</f>
        <v>-57600.956255177945</v>
      </c>
      <c r="N28" s="18"/>
    </row>
    <row r="29" spans="1:14">
      <c r="A29" s="14">
        <v>11</v>
      </c>
      <c r="B29" s="15" t="s">
        <v>70</v>
      </c>
      <c r="C29" s="27">
        <f>'2017 Ranked by GDP'!C38-'2000 Ranked by GDP'!C38</f>
        <v>266799</v>
      </c>
      <c r="D29" s="16">
        <f>'2017 Ranked by GDP'!E38-'2000 Ranked by GDP'!H38</f>
        <v>-17532</v>
      </c>
      <c r="E29" s="16">
        <f>'2017 Ranked by GDP'!F38-'2000 Ranked by GDP'!I38</f>
        <v>-94</v>
      </c>
      <c r="F29" s="16">
        <f>'2017 Ranked by GDP'!G38-'2000 Ranked by GDP'!J38</f>
        <v>-17438</v>
      </c>
      <c r="G29" s="16">
        <f>'2017 Ranked by GDP'!H38-'2000 Ranked by GDP'!K38</f>
        <v>249361</v>
      </c>
      <c r="H29" s="16">
        <f>'2017 Ranked by GDP'!I38-'2000 Ranked by GDP'!L38</f>
        <v>2224106</v>
      </c>
      <c r="I29" s="16">
        <f>'2017 Ranked by GDP'!J38-'2000 Ranked by GDP'!M38</f>
        <v>-444.67070638801988</v>
      </c>
      <c r="J29" s="16">
        <f>'2017 Ranked by GDP'!K38-'2000 Ranked by GDP'!N38</f>
        <v>-3656.8709979930181</v>
      </c>
      <c r="K29" s="16">
        <f>'2017 Ranked by GDP'!L38-'2000 Ranked by GDP'!O38</f>
        <v>14951.685176943261</v>
      </c>
      <c r="L29" s="16">
        <f>'2017 Ranked by GDP'!M38-'2000 Ranked by GDP'!P38</f>
        <v>-26536.968502219119</v>
      </c>
      <c r="M29" s="16">
        <f>'2017 Ranked by GDP'!N38-'2000 Ranked by GDP'!Q38</f>
        <v>-45145.524677155401</v>
      </c>
      <c r="N29" s="18"/>
    </row>
    <row r="30" spans="1:14">
      <c r="A30" s="14">
        <v>12</v>
      </c>
      <c r="B30" s="15" t="s">
        <v>74</v>
      </c>
      <c r="C30" s="27">
        <f>'2017 Ranked by GDP'!C39-'2000 Ranked by GDP'!C39</f>
        <v>302362</v>
      </c>
      <c r="D30" s="16">
        <f>'2017 Ranked by GDP'!E39-'2000 Ranked by GDP'!H39</f>
        <v>52810</v>
      </c>
      <c r="E30" s="16">
        <f>'2017 Ranked by GDP'!F39-'2000 Ranked by GDP'!I39</f>
        <v>43790</v>
      </c>
      <c r="F30" s="16">
        <f>'2017 Ranked by GDP'!G39-'2000 Ranked by GDP'!J39</f>
        <v>9020</v>
      </c>
      <c r="G30" s="16">
        <f>'2017 Ranked by GDP'!H39-'2000 Ranked by GDP'!K39</f>
        <v>285153.90000000002</v>
      </c>
      <c r="H30" s="16">
        <f>'2017 Ranked by GDP'!I39-'2000 Ranked by GDP'!L39</f>
        <v>358622</v>
      </c>
      <c r="I30" s="16">
        <f>'2017 Ranked by GDP'!J39-'2000 Ranked by GDP'!M39</f>
        <v>5705.5256375190847</v>
      </c>
      <c r="J30" s="16">
        <f>'2017 Ranked by GDP'!K39-'2000 Ranked by GDP'!N39</f>
        <v>1115.1198735604698</v>
      </c>
      <c r="K30" s="16">
        <f>'2017 Ranked by GDP'!L39-'2000 Ranked by GDP'!O39</f>
        <v>36696.123370241221</v>
      </c>
      <c r="L30" s="16">
        <f>'2017 Ranked by GDP'!M39-'2000 Ranked by GDP'!P39</f>
        <v>-4792.5303089211593</v>
      </c>
      <c r="M30" s="16">
        <f>'2017 Ranked by GDP'!N39-'2000 Ranked by GDP'!Q39</f>
        <v>-40373.53380560191</v>
      </c>
      <c r="N30" s="18"/>
    </row>
    <row r="31" spans="1:14">
      <c r="A31" s="14">
        <v>13</v>
      </c>
      <c r="B31" s="15" t="s">
        <v>77</v>
      </c>
      <c r="C31" s="27">
        <f>'2017 Ranked by GDP'!C40-'2000 Ranked by GDP'!C40</f>
        <v>249843</v>
      </c>
      <c r="D31" s="16">
        <f>'2017 Ranked by GDP'!E40-'2000 Ranked by GDP'!H40</f>
        <v>27607</v>
      </c>
      <c r="E31" s="16">
        <f>'2017 Ranked by GDP'!F40-'2000 Ranked by GDP'!I40</f>
        <v>15787</v>
      </c>
      <c r="F31" s="16">
        <f>'2017 Ranked by GDP'!G40-'2000 Ranked by GDP'!J40</f>
        <v>11820</v>
      </c>
      <c r="G31" s="16">
        <f>'2017 Ranked by GDP'!H40-'2000 Ranked by GDP'!K40</f>
        <v>229130.09999999998</v>
      </c>
      <c r="H31" s="16">
        <f>'2017 Ranked by GDP'!I40-'2000 Ranked by GDP'!L40</f>
        <v>1182505</v>
      </c>
      <c r="I31" s="16">
        <f>'2017 Ranked by GDP'!J40-'2000 Ranked by GDP'!M40</f>
        <v>1694.9179987219381</v>
      </c>
      <c r="J31" s="16">
        <f>'2017 Ranked by GDP'!K40-'2000 Ranked by GDP'!N40</f>
        <v>1179.6626033999589</v>
      </c>
      <c r="K31" s="16">
        <f>'2017 Ranked by GDP'!L40-'2000 Ranked by GDP'!O40</f>
        <v>21217.611962164381</v>
      </c>
      <c r="L31" s="16">
        <f>'2017 Ranked by GDP'!M40-'2000 Ranked by GDP'!P40</f>
        <v>-20271.041716997999</v>
      </c>
      <c r="M31" s="16">
        <f>'2017 Ranked by GDP'!N40-'2000 Ranked by GDP'!Q40</f>
        <v>-40308.991075762417</v>
      </c>
      <c r="N31" s="18"/>
    </row>
    <row r="32" spans="1:14">
      <c r="A32" s="14">
        <v>14</v>
      </c>
      <c r="B32" s="15" t="s">
        <v>79</v>
      </c>
      <c r="C32" s="27">
        <f>'2017 Ranked by GDP'!C41-'2000 Ranked by GDP'!C41</f>
        <v>171670</v>
      </c>
      <c r="D32" s="16">
        <f>'2017 Ranked by GDP'!E41-'2000 Ranked by GDP'!H41</f>
        <v>-39780.644999999997</v>
      </c>
      <c r="E32" s="16">
        <f>'2017 Ranked by GDP'!F41-'2000 Ranked by GDP'!I41</f>
        <v>10270.690999999999</v>
      </c>
      <c r="F32" s="16">
        <f>'2017 Ranked by GDP'!G41-'2000 Ranked by GDP'!J41</f>
        <v>-50051.335999999996</v>
      </c>
      <c r="G32" s="16">
        <f>'2017 Ranked by GDP'!H41-'2000 Ranked by GDP'!K41</f>
        <v>121618.66399999999</v>
      </c>
      <c r="H32" s="16">
        <f>'2017 Ranked by GDP'!I41-'2000 Ranked by GDP'!L41</f>
        <v>23867</v>
      </c>
      <c r="I32" s="16">
        <f>'2017 Ranked by GDP'!J41-'2000 Ranked by GDP'!M41</f>
        <v>1027.7201652235397</v>
      </c>
      <c r="J32" s="16">
        <f>'2017 Ranked by GDP'!K41-'2000 Ranked by GDP'!N41</f>
        <v>-5040.9589380373473</v>
      </c>
      <c r="K32" s="16">
        <f>'2017 Ranked by GDP'!L41-'2000 Ranked by GDP'!O41</f>
        <v>12109.693759597445</v>
      </c>
      <c r="L32" s="16">
        <f>'2017 Ranked by GDP'!M41-'2000 Ranked by GDP'!P41</f>
        <v>-29378.959919564935</v>
      </c>
      <c r="M32" s="16">
        <f>'2017 Ranked by GDP'!N41-'2000 Ranked by GDP'!Q41</f>
        <v>-46529.612617199724</v>
      </c>
      <c r="N32" s="18"/>
    </row>
    <row r="33" spans="1:14">
      <c r="A33" s="14">
        <v>15</v>
      </c>
      <c r="B33" s="15" t="s">
        <v>80</v>
      </c>
      <c r="C33" s="27">
        <f>'2017 Ranked by GDP'!C42-'2000 Ranked by GDP'!C42</f>
        <v>219171</v>
      </c>
      <c r="D33" s="16">
        <f>'2017 Ranked by GDP'!E42-'2000 Ranked by GDP'!H42</f>
        <v>-17671</v>
      </c>
      <c r="E33" s="16">
        <f>'2017 Ranked by GDP'!F42-'2000 Ranked by GDP'!I42</f>
        <v>36555</v>
      </c>
      <c r="F33" s="16">
        <f>'2017 Ranked by GDP'!G42-'2000 Ranked by GDP'!J42</f>
        <v>-54226</v>
      </c>
      <c r="G33" s="16">
        <f>'2017 Ranked by GDP'!H42-'2000 Ranked by GDP'!K42</f>
        <v>164945</v>
      </c>
      <c r="H33" s="16">
        <f>'2017 Ranked by GDP'!I42-'2000 Ranked by GDP'!L42</f>
        <v>755691</v>
      </c>
      <c r="I33" s="16">
        <f>'2017 Ranked by GDP'!J42-'2000 Ranked by GDP'!M42</f>
        <v>5646.1612502485495</v>
      </c>
      <c r="J33" s="16">
        <f>'2017 Ranked by GDP'!K42-'2000 Ranked by GDP'!N42</f>
        <v>-10179.007228156888</v>
      </c>
      <c r="K33" s="16">
        <f>'2017 Ranked by GDP'!L42-'2000 Ranked by GDP'!O42</f>
        <v>21782.488979398833</v>
      </c>
      <c r="L33" s="16">
        <f>'2017 Ranked by GDP'!M42-'2000 Ranked by GDP'!P42</f>
        <v>-19706.164699763547</v>
      </c>
      <c r="M33" s="16">
        <f>'2017 Ranked by GDP'!N42-'2000 Ranked by GDP'!Q42</f>
        <v>-51667.660907319267</v>
      </c>
      <c r="N33" s="18"/>
    </row>
    <row r="34" spans="1:14">
      <c r="A34" s="14">
        <v>16</v>
      </c>
      <c r="B34" s="15" t="s">
        <v>82</v>
      </c>
      <c r="C34" s="27">
        <f>'2017 Ranked by GDP'!C43-'2000 Ranked by GDP'!C43</f>
        <v>157854</v>
      </c>
      <c r="D34" s="16">
        <f>'2017 Ranked by GDP'!E43-'2000 Ranked by GDP'!H43</f>
        <v>-6622</v>
      </c>
      <c r="E34" s="16">
        <f>'2017 Ranked by GDP'!F43-'2000 Ranked by GDP'!I43</f>
        <v>8044</v>
      </c>
      <c r="F34" s="16">
        <f>'2017 Ranked by GDP'!G43-'2000 Ranked by GDP'!J43</f>
        <v>-14666</v>
      </c>
      <c r="G34" s="16">
        <f>'2017 Ranked by GDP'!H43-'2000 Ranked by GDP'!K43</f>
        <v>143188</v>
      </c>
      <c r="H34" s="16">
        <f>'2017 Ranked by GDP'!I43-'2000 Ranked by GDP'!L43</f>
        <v>586333</v>
      </c>
      <c r="I34" s="16">
        <f>'2017 Ranked by GDP'!J43-'2000 Ranked by GDP'!M43</f>
        <v>1063.3937702153653</v>
      </c>
      <c r="J34" s="16">
        <f>'2017 Ranked by GDP'!K43-'2000 Ranked by GDP'!N43</f>
        <v>-2582.8126012564053</v>
      </c>
      <c r="K34" s="16">
        <f>'2017 Ranked by GDP'!L43-'2000 Ranked by GDP'!O43</f>
        <v>18282.679304076897</v>
      </c>
      <c r="L34" s="16">
        <f>'2017 Ranked by GDP'!M43-'2000 Ranked by GDP'!P43</f>
        <v>-23205.974375085483</v>
      </c>
      <c r="M34" s="16">
        <f>'2017 Ranked by GDP'!N43-'2000 Ranked by GDP'!Q43</f>
        <v>-44071.466280418783</v>
      </c>
      <c r="N34" s="18"/>
    </row>
    <row r="35" spans="1:14">
      <c r="A35" s="14">
        <v>17</v>
      </c>
      <c r="B35" s="15" t="s">
        <v>84</v>
      </c>
      <c r="C35" s="27">
        <f>'2017 Ranked by GDP'!C44-'2000 Ranked by GDP'!C44</f>
        <v>165086</v>
      </c>
      <c r="D35" s="16">
        <f>'2017 Ranked by GDP'!E44-'2000 Ranked by GDP'!H44</f>
        <v>-18663</v>
      </c>
      <c r="E35" s="16">
        <f>'2017 Ranked by GDP'!F44-'2000 Ranked by GDP'!I44</f>
        <v>19696</v>
      </c>
      <c r="F35" s="16">
        <f>'2017 Ranked by GDP'!G44-'2000 Ranked by GDP'!J44</f>
        <v>-38359</v>
      </c>
      <c r="G35" s="16">
        <f>'2017 Ranked by GDP'!H44-'2000 Ranked by GDP'!K44</f>
        <v>126727</v>
      </c>
      <c r="H35" s="16">
        <f>'2017 Ranked by GDP'!I44-'2000 Ranked by GDP'!L44</f>
        <v>657127</v>
      </c>
      <c r="I35" s="16">
        <f>'2017 Ranked by GDP'!J44-'2000 Ranked by GDP'!M44</f>
        <v>3217.5139983481404</v>
      </c>
      <c r="J35" s="16">
        <f>'2017 Ranked by GDP'!K44-'2000 Ranked by GDP'!N44</f>
        <v>-8191.3736041255979</v>
      </c>
      <c r="K35" s="16">
        <f>'2017 Ranked by GDP'!L44-'2000 Ranked by GDP'!O44</f>
        <v>16978.401140237853</v>
      </c>
      <c r="L35" s="16">
        <f>'2017 Ranked by GDP'!M44-'2000 Ranked by GDP'!P44</f>
        <v>-24510.252538924527</v>
      </c>
      <c r="M35" s="16">
        <f>'2017 Ranked by GDP'!N44-'2000 Ranked by GDP'!Q44</f>
        <v>-49680.027283287978</v>
      </c>
      <c r="N35" s="18"/>
    </row>
    <row r="36" spans="1:14">
      <c r="A36" s="14">
        <v>18</v>
      </c>
      <c r="B36" s="15" t="s">
        <v>88</v>
      </c>
      <c r="C36" s="27">
        <f>'2017 Ranked by GDP'!C45-'2000 Ranked by GDP'!C45</f>
        <v>174718</v>
      </c>
      <c r="D36" s="16">
        <f>'2017 Ranked by GDP'!E45-'2000 Ranked by GDP'!H45</f>
        <v>7629</v>
      </c>
      <c r="E36" s="16">
        <f>'2017 Ranked by GDP'!F45-'2000 Ranked by GDP'!I45</f>
        <v>3141</v>
      </c>
      <c r="F36" s="16">
        <f>'2017 Ranked by GDP'!G45-'2000 Ranked by GDP'!J45</f>
        <v>4488</v>
      </c>
      <c r="G36" s="16">
        <f>'2017 Ranked by GDP'!H45-'2000 Ranked by GDP'!K45</f>
        <v>179206</v>
      </c>
      <c r="H36" s="16">
        <f>'2017 Ranked by GDP'!I45-'2000 Ranked by GDP'!L45</f>
        <v>1026701</v>
      </c>
      <c r="I36" s="16">
        <f>'2017 Ranked by GDP'!J45-'2000 Ranked by GDP'!M45</f>
        <v>363.00249444001167</v>
      </c>
      <c r="J36" s="16">
        <f>'2017 Ranked by GDP'!K45-'2000 Ranked by GDP'!N45</f>
        <v>-172.60407833720546</v>
      </c>
      <c r="K36" s="16">
        <f>'2017 Ranked by GDP'!L45-'2000 Ranked by GDP'!O45</f>
        <v>21144.30038699344</v>
      </c>
      <c r="L36" s="16">
        <f>'2017 Ranked by GDP'!M45-'2000 Ranked by GDP'!P45</f>
        <v>-20344.35329216894</v>
      </c>
      <c r="M36" s="16">
        <f>'2017 Ranked by GDP'!N45-'2000 Ranked by GDP'!Q45</f>
        <v>-41661.257757499581</v>
      </c>
      <c r="N36" s="18"/>
    </row>
    <row r="37" spans="1:14">
      <c r="A37" s="14">
        <v>19</v>
      </c>
      <c r="B37" s="15" t="s">
        <v>90</v>
      </c>
      <c r="C37" s="27">
        <f>'2017 Ranked by GDP'!C46-'2000 Ranked by GDP'!C46</f>
        <v>173371</v>
      </c>
      <c r="D37" s="16">
        <f>'2017 Ranked by GDP'!E46-'2000 Ranked by GDP'!H46</f>
        <v>28165</v>
      </c>
      <c r="E37" s="16">
        <f>'2017 Ranked by GDP'!F46-'2000 Ranked by GDP'!I46</f>
        <v>25328</v>
      </c>
      <c r="F37" s="16">
        <f>'2017 Ranked by GDP'!G46-'2000 Ranked by GDP'!J46</f>
        <v>2837</v>
      </c>
      <c r="G37" s="16">
        <f>'2017 Ranked by GDP'!H46-'2000 Ranked by GDP'!K46</f>
        <v>176208</v>
      </c>
      <c r="H37" s="16">
        <f>'2017 Ranked by GDP'!I46-'2000 Ranked by GDP'!L46</f>
        <v>1305893</v>
      </c>
      <c r="I37" s="16">
        <f>'2017 Ranked by GDP'!J46-'2000 Ranked by GDP'!M46</f>
        <v>4263.789865216796</v>
      </c>
      <c r="J37" s="16">
        <f>'2017 Ranked by GDP'!K46-'2000 Ranked by GDP'!N46</f>
        <v>-59.32728175073089</v>
      </c>
      <c r="K37" s="16">
        <f>'2017 Ranked by GDP'!L46-'2000 Ranked by GDP'!O46</f>
        <v>21554.577331059874</v>
      </c>
      <c r="L37" s="16">
        <f>'2017 Ranked by GDP'!M46-'2000 Ranked by GDP'!P46</f>
        <v>-19934.076348102506</v>
      </c>
      <c r="M37" s="16">
        <f>'2017 Ranked by GDP'!N46-'2000 Ranked by GDP'!Q46</f>
        <v>-41547.980960913112</v>
      </c>
      <c r="N37" s="18"/>
    </row>
    <row r="38" spans="1:14">
      <c r="A38" s="14">
        <v>20</v>
      </c>
      <c r="B38" s="15" t="s">
        <v>92</v>
      </c>
      <c r="C38" s="27">
        <f>'2017 Ranked by GDP'!C47-'2000 Ranked by GDP'!C47</f>
        <v>167913</v>
      </c>
      <c r="D38" s="16">
        <f>'2017 Ranked by GDP'!E47-'2000 Ranked by GDP'!H47</f>
        <v>-5833</v>
      </c>
      <c r="E38" s="16">
        <f>'2017 Ranked by GDP'!F47-'2000 Ranked by GDP'!I47</f>
        <v>11122</v>
      </c>
      <c r="F38" s="16">
        <f>'2017 Ranked by GDP'!G47-'2000 Ranked by GDP'!J47</f>
        <v>-16955</v>
      </c>
      <c r="G38" s="16">
        <f>'2017 Ranked by GDP'!H47-'2000 Ranked by GDP'!K47</f>
        <v>150958</v>
      </c>
      <c r="H38" s="16">
        <f>'2017 Ranked by GDP'!I47-'2000 Ranked by GDP'!L47</f>
        <v>1885638</v>
      </c>
      <c r="I38" s="16">
        <f>'2017 Ranked by GDP'!J47-'2000 Ranked by GDP'!M47</f>
        <v>1014.5768224357298</v>
      </c>
      <c r="J38" s="16">
        <f>'2017 Ranked by GDP'!K47-'2000 Ranked by GDP'!N47</f>
        <v>-4685.5001003014168</v>
      </c>
      <c r="K38" s="16">
        <f>'2017 Ranked by GDP'!L47-'2000 Ranked by GDP'!O47</f>
        <v>10942.188504031335</v>
      </c>
      <c r="L38" s="16">
        <f>'2017 Ranked by GDP'!M47-'2000 Ranked by GDP'!P47</f>
        <v>-30546.465175131045</v>
      </c>
      <c r="M38" s="16">
        <f>'2017 Ranked by GDP'!N47-'2000 Ranked by GDP'!Q47</f>
        <v>-46174.153779463799</v>
      </c>
      <c r="N38" s="18"/>
    </row>
    <row r="39" spans="1:14">
      <c r="A39" s="14">
        <v>21</v>
      </c>
      <c r="B39" s="15" t="s">
        <v>93</v>
      </c>
      <c r="C39" s="27">
        <f>'2017 Ranked by GDP'!C48-'2000 Ranked by GDP'!C48</f>
        <v>145636</v>
      </c>
      <c r="D39" s="16">
        <f>'2017 Ranked by GDP'!E48-'2000 Ranked by GDP'!H48</f>
        <v>-49020</v>
      </c>
      <c r="E39" s="16">
        <f>'2017 Ranked by GDP'!F48-'2000 Ranked by GDP'!I48</f>
        <v>5634</v>
      </c>
      <c r="F39" s="16">
        <f>'2017 Ranked by GDP'!G48-'2000 Ranked by GDP'!J48</f>
        <v>-54654</v>
      </c>
      <c r="G39" s="16">
        <f>'2017 Ranked by GDP'!H48-'2000 Ranked by GDP'!K48</f>
        <v>90982</v>
      </c>
      <c r="H39" s="16">
        <f>'2017 Ranked by GDP'!I48-'2000 Ranked by GDP'!L48</f>
        <v>431808</v>
      </c>
      <c r="I39" s="16">
        <f>'2017 Ranked by GDP'!J48-'2000 Ranked by GDP'!M48</f>
        <v>725.42935674787213</v>
      </c>
      <c r="J39" s="16">
        <f>'2017 Ranked by GDP'!K48-'2000 Ranked by GDP'!N48</f>
        <v>-10531.461358976656</v>
      </c>
      <c r="K39" s="16">
        <f>'2017 Ranked by GDP'!L48-'2000 Ranked by GDP'!O48</f>
        <v>12156.573049638093</v>
      </c>
      <c r="L39" s="16">
        <f>'2017 Ranked by GDP'!M48-'2000 Ranked by GDP'!P48</f>
        <v>-29332.080629524287</v>
      </c>
      <c r="M39" s="16">
        <f>'2017 Ranked by GDP'!N48-'2000 Ranked by GDP'!Q48</f>
        <v>-52020.115038139033</v>
      </c>
      <c r="N39" s="18"/>
    </row>
    <row r="40" spans="1:14">
      <c r="A40" s="14">
        <v>22</v>
      </c>
      <c r="B40" s="15" t="s">
        <v>95</v>
      </c>
      <c r="C40" s="27">
        <f>'2017 Ranked by GDP'!C49-'2000 Ranked by GDP'!C49</f>
        <v>127055</v>
      </c>
      <c r="D40" s="16">
        <f>'2017 Ranked by GDP'!E49-'2000 Ranked by GDP'!H49</f>
        <v>11569</v>
      </c>
      <c r="E40" s="16">
        <f>'2017 Ranked by GDP'!F49-'2000 Ranked by GDP'!I49</f>
        <v>10576</v>
      </c>
      <c r="F40" s="16">
        <f>'2017 Ranked by GDP'!G49-'2000 Ranked by GDP'!J49</f>
        <v>993</v>
      </c>
      <c r="G40" s="16">
        <f>'2017 Ranked by GDP'!H49-'2000 Ranked by GDP'!K49</f>
        <v>108158.39999999999</v>
      </c>
      <c r="H40" s="16">
        <f>'2017 Ranked by GDP'!I49-'2000 Ranked by GDP'!L49</f>
        <v>438321</v>
      </c>
      <c r="I40" s="16">
        <f>'2017 Ranked by GDP'!J49-'2000 Ranked by GDP'!M49</f>
        <v>1675.761128430951</v>
      </c>
      <c r="J40" s="16">
        <f>'2017 Ranked by GDP'!K49-'2000 Ranked by GDP'!N49</f>
        <v>-192.29226706129157</v>
      </c>
      <c r="K40" s="16">
        <f>'2017 Ranked by GDP'!L49-'2000 Ranked by GDP'!O49</f>
        <v>14853.236277392796</v>
      </c>
      <c r="L40" s="16">
        <f>'2017 Ranked by GDP'!M49-'2000 Ranked by GDP'!P49</f>
        <v>-26635.417401769584</v>
      </c>
      <c r="M40" s="16">
        <f>'2017 Ranked by GDP'!N49-'2000 Ranked by GDP'!Q49</f>
        <v>-41680.94594622367</v>
      </c>
      <c r="N40" s="18"/>
    </row>
    <row r="41" spans="1:14">
      <c r="A41" s="14">
        <v>23</v>
      </c>
      <c r="B41" s="15" t="s">
        <v>97</v>
      </c>
      <c r="C41" s="27">
        <f>'2017 Ranked by GDP'!C50-'2000 Ranked by GDP'!C50</f>
        <v>104074</v>
      </c>
      <c r="D41" s="16">
        <f>'2017 Ranked by GDP'!E50-'2000 Ranked by GDP'!H50</f>
        <v>-12865</v>
      </c>
      <c r="E41" s="16">
        <f>'2017 Ranked by GDP'!F50-'2000 Ranked by GDP'!I50</f>
        <v>58885</v>
      </c>
      <c r="F41" s="16">
        <f>'2017 Ranked by GDP'!G50-'2000 Ranked by GDP'!J50</f>
        <v>-71750</v>
      </c>
      <c r="G41" s="16">
        <f>'2017 Ranked by GDP'!H50-'2000 Ranked by GDP'!K50</f>
        <v>32324</v>
      </c>
      <c r="H41" s="16">
        <f>'2017 Ranked by GDP'!I50-'2000 Ranked by GDP'!L50</f>
        <v>182619</v>
      </c>
      <c r="I41" s="16">
        <f>'2017 Ranked by GDP'!J50-'2000 Ranked by GDP'!M50</f>
        <v>16096.016914902368</v>
      </c>
      <c r="J41" s="16">
        <f>'2017 Ranked by GDP'!K50-'2000 Ranked by GDP'!N50</f>
        <v>-20490.701779209136</v>
      </c>
      <c r="K41" s="16">
        <f>'2017 Ranked by GDP'!L50-'2000 Ranked by GDP'!O50</f>
        <v>6116.3027314853171</v>
      </c>
      <c r="L41" s="16">
        <f>'2017 Ranked by GDP'!M50-'2000 Ranked by GDP'!P50</f>
        <v>-35372.350947677063</v>
      </c>
      <c r="M41" s="16">
        <f>'2017 Ranked by GDP'!N50-'2000 Ranked by GDP'!Q50</f>
        <v>-61979.355458371523</v>
      </c>
      <c r="N41" s="18"/>
    </row>
    <row r="42" spans="1:14">
      <c r="A42" s="14">
        <v>24</v>
      </c>
      <c r="B42" s="15" t="s">
        <v>100</v>
      </c>
      <c r="C42" s="27">
        <f>'2017 Ranked by GDP'!C51-'2000 Ranked by GDP'!C51</f>
        <v>104440</v>
      </c>
      <c r="D42" s="16">
        <f>'2017 Ranked by GDP'!E51-'2000 Ranked by GDP'!H51</f>
        <v>-5578</v>
      </c>
      <c r="E42" s="16">
        <f>'2017 Ranked by GDP'!F51-'2000 Ranked by GDP'!I51</f>
        <v>16352</v>
      </c>
      <c r="F42" s="16">
        <f>'2017 Ranked by GDP'!G51-'2000 Ranked by GDP'!J51</f>
        <v>-21930</v>
      </c>
      <c r="G42" s="16">
        <f>'2017 Ranked by GDP'!H51-'2000 Ranked by GDP'!K51</f>
        <v>82510</v>
      </c>
      <c r="H42" s="16">
        <f>'2017 Ranked by GDP'!I51-'2000 Ranked by GDP'!L51</f>
        <v>215357</v>
      </c>
      <c r="I42" s="16">
        <f>'2017 Ranked by GDP'!J51-'2000 Ranked by GDP'!M51</f>
        <v>3384.5271709313906</v>
      </c>
      <c r="J42" s="16">
        <f>'2017 Ranked by GDP'!K51-'2000 Ranked by GDP'!N51</f>
        <v>-4972.4170303533965</v>
      </c>
      <c r="K42" s="16">
        <f>'2017 Ranked by GDP'!L51-'2000 Ranked by GDP'!O51</f>
        <v>15970.18848433598</v>
      </c>
      <c r="L42" s="16">
        <f>'2017 Ranked by GDP'!M51-'2000 Ranked by GDP'!P51</f>
        <v>-25518.4651948264</v>
      </c>
      <c r="M42" s="16">
        <f>'2017 Ranked by GDP'!N51-'2000 Ranked by GDP'!Q51</f>
        <v>-46461.070709515785</v>
      </c>
      <c r="N42" s="18"/>
    </row>
    <row r="43" spans="1:14">
      <c r="A43" s="14">
        <v>25</v>
      </c>
      <c r="B43" s="15" t="s">
        <v>102</v>
      </c>
      <c r="C43" s="27">
        <f>'2017 Ranked by GDP'!C52-'2000 Ranked by GDP'!C52</f>
        <v>114717</v>
      </c>
      <c r="D43" s="16">
        <f>'2017 Ranked by GDP'!E52-'2000 Ranked by GDP'!H52</f>
        <v>13689</v>
      </c>
      <c r="E43" s="16">
        <f>'2017 Ranked by GDP'!F52-'2000 Ranked by GDP'!I52</f>
        <v>10358</v>
      </c>
      <c r="F43" s="16">
        <f>'2017 Ranked by GDP'!G52-'2000 Ranked by GDP'!J52</f>
        <v>3331</v>
      </c>
      <c r="G43" s="16">
        <f>'2017 Ranked by GDP'!H52-'2000 Ranked by GDP'!K52</f>
        <v>109256.5</v>
      </c>
      <c r="H43" s="16">
        <f>'2017 Ranked by GDP'!I52-'2000 Ranked by GDP'!L52</f>
        <v>629377</v>
      </c>
      <c r="I43" s="16">
        <f>'2017 Ranked by GDP'!J52-'2000 Ranked by GDP'!M52</f>
        <v>2111.9550721149699</v>
      </c>
      <c r="J43" s="16">
        <f>'2017 Ranked by GDP'!K52-'2000 Ranked by GDP'!N52</f>
        <v>207.84852047554341</v>
      </c>
      <c r="K43" s="16">
        <f>'2017 Ranked by GDP'!L52-'2000 Ranked by GDP'!O52</f>
        <v>20534.534341020975</v>
      </c>
      <c r="L43" s="16">
        <f>'2017 Ranked by GDP'!M52-'2000 Ranked by GDP'!P52</f>
        <v>-20954.119338141405</v>
      </c>
      <c r="M43" s="16">
        <f>'2017 Ranked by GDP'!N52-'2000 Ranked by GDP'!Q52</f>
        <v>-41280.805158686839</v>
      </c>
      <c r="N43" s="18"/>
    </row>
    <row r="44" spans="1:14">
      <c r="A44" s="14">
        <v>26</v>
      </c>
      <c r="B44" s="15" t="s">
        <v>104</v>
      </c>
      <c r="C44" s="27">
        <f>'2017 Ranked by GDP'!C53-'2000 Ranked by GDP'!C53</f>
        <v>109176</v>
      </c>
      <c r="D44" s="16">
        <f>'2017 Ranked by GDP'!E53-'2000 Ranked by GDP'!H53</f>
        <v>8925.8489999999983</v>
      </c>
      <c r="E44" s="16">
        <f>'2017 Ranked by GDP'!F53-'2000 Ranked by GDP'!I53</f>
        <v>1231.8549999999996</v>
      </c>
      <c r="F44" s="16">
        <f>'2017 Ranked by GDP'!G53-'2000 Ranked by GDP'!J53</f>
        <v>7693.9939999999988</v>
      </c>
      <c r="G44" s="16">
        <f>'2017 Ranked by GDP'!H53-'2000 Ranked by GDP'!K53</f>
        <v>105223.894</v>
      </c>
      <c r="H44" s="16">
        <f>'2017 Ranked by GDP'!I53-'2000 Ranked by GDP'!L53</f>
        <v>916574</v>
      </c>
      <c r="I44" s="16">
        <f>'2017 Ranked by GDP'!J53-'2000 Ranked by GDP'!M53</f>
        <v>-187.60231200507769</v>
      </c>
      <c r="J44" s="16">
        <f>'2017 Ranked by GDP'!K53-'2000 Ranked by GDP'!N53</f>
        <v>995.53281482774082</v>
      </c>
      <c r="K44" s="16">
        <f>'2017 Ranked by GDP'!L53-'2000 Ranked by GDP'!O53</f>
        <v>14893.000427935345</v>
      </c>
      <c r="L44" s="16">
        <f>'2017 Ranked by GDP'!M53-'2000 Ranked by GDP'!P53</f>
        <v>-26595.653251227035</v>
      </c>
      <c r="M44" s="16">
        <f>'2017 Ranked by GDP'!N53-'2000 Ranked by GDP'!Q53</f>
        <v>-40493.12086433464</v>
      </c>
      <c r="N44" s="18"/>
    </row>
    <row r="45" spans="1:14">
      <c r="A45" s="14">
        <v>27</v>
      </c>
      <c r="B45" s="15" t="s">
        <v>105</v>
      </c>
      <c r="C45" s="27">
        <f>'2017 Ranked by GDP'!C54-'2000 Ranked by GDP'!C54</f>
        <v>96620</v>
      </c>
      <c r="D45" s="16">
        <f>'2017 Ranked by GDP'!E54-'2000 Ranked by GDP'!H54</f>
        <v>26194.975000000002</v>
      </c>
      <c r="E45" s="16">
        <f>'2017 Ranked by GDP'!F54-'2000 Ranked by GDP'!I54</f>
        <v>10652.541000000001</v>
      </c>
      <c r="F45" s="16">
        <f>'2017 Ranked by GDP'!G54-'2000 Ranked by GDP'!J54</f>
        <v>15542.434000000001</v>
      </c>
      <c r="G45" s="16">
        <f>'2017 Ranked by GDP'!H54-'2000 Ranked by GDP'!K54</f>
        <v>112162.43399999999</v>
      </c>
      <c r="H45" s="16">
        <f>'2017 Ranked by GDP'!I54-'2000 Ranked by GDP'!L54</f>
        <v>427647</v>
      </c>
      <c r="I45" s="16">
        <f>'2017 Ranked by GDP'!J54-'2000 Ranked by GDP'!M54</f>
        <v>2133.872404672898</v>
      </c>
      <c r="J45" s="16">
        <f>'2017 Ranked by GDP'!K54-'2000 Ranked by GDP'!N54</f>
        <v>3071.1214063051875</v>
      </c>
      <c r="K45" s="16">
        <f>'2017 Ranked by GDP'!L54-'2000 Ranked by GDP'!O54</f>
        <v>20631.420360291846</v>
      </c>
      <c r="L45" s="16">
        <f>'2017 Ranked by GDP'!M54-'2000 Ranked by GDP'!P54</f>
        <v>-20857.233318870534</v>
      </c>
      <c r="M45" s="16">
        <f>'2017 Ranked by GDP'!N54-'2000 Ranked by GDP'!Q54</f>
        <v>-38417.532272857192</v>
      </c>
      <c r="N45" s="18"/>
    </row>
    <row r="46" spans="1:14">
      <c r="A46" s="14">
        <v>28</v>
      </c>
      <c r="B46" s="15" t="s">
        <v>107</v>
      </c>
      <c r="C46" s="27">
        <f>'2017 Ranked by GDP'!C55-'2000 Ranked by GDP'!C55</f>
        <v>90275</v>
      </c>
      <c r="D46" s="16">
        <f>'2017 Ranked by GDP'!E55-'2000 Ranked by GDP'!H55</f>
        <v>33217.656999999999</v>
      </c>
      <c r="E46" s="16">
        <f>'2017 Ranked by GDP'!F55-'2000 Ranked by GDP'!I55</f>
        <v>49166.466999999997</v>
      </c>
      <c r="F46" s="16">
        <f>'2017 Ranked by GDP'!G55-'2000 Ranked by GDP'!J55</f>
        <v>-15948.81</v>
      </c>
      <c r="G46" s="16">
        <f>'2017 Ranked by GDP'!H55-'2000 Ranked by GDP'!K55</f>
        <v>64033.09</v>
      </c>
      <c r="H46" s="16">
        <f>'2017 Ranked by GDP'!I55-'2000 Ranked by GDP'!L55</f>
        <v>364314</v>
      </c>
      <c r="I46" s="16">
        <f>'2017 Ranked by GDP'!J55-'2000 Ranked by GDP'!M55</f>
        <v>10898.273344206482</v>
      </c>
      <c r="J46" s="16">
        <f>'2017 Ranked by GDP'!K55-'2000 Ranked by GDP'!N55</f>
        <v>-3584.3075479209342</v>
      </c>
      <c r="K46" s="16">
        <f>'2017 Ranked by GDP'!L55-'2000 Ranked by GDP'!O55</f>
        <v>11928.572376510569</v>
      </c>
      <c r="L46" s="16">
        <f>'2017 Ranked by GDP'!M55-'2000 Ranked by GDP'!P55</f>
        <v>-29560.081302651812</v>
      </c>
      <c r="M46" s="16">
        <f>'2017 Ranked by GDP'!N55-'2000 Ranked by GDP'!Q55</f>
        <v>-45072.961227083317</v>
      </c>
      <c r="N46" s="18"/>
    </row>
    <row r="47" spans="1:14">
      <c r="A47" s="14">
        <v>29</v>
      </c>
      <c r="B47" s="15" t="s">
        <v>110</v>
      </c>
      <c r="C47" s="27">
        <f>'2017 Ranked by GDP'!C56-'2000 Ranked by GDP'!C56</f>
        <v>98875</v>
      </c>
      <c r="D47" s="16">
        <f>'2017 Ranked by GDP'!E56-'2000 Ranked by GDP'!H56</f>
        <v>16493.397000000001</v>
      </c>
      <c r="E47" s="16">
        <f>'2017 Ranked by GDP'!F56-'2000 Ranked by GDP'!I56</f>
        <v>2794.6129999999998</v>
      </c>
      <c r="F47" s="16">
        <f>'2017 Ranked by GDP'!G56-'2000 Ranked by GDP'!J56</f>
        <v>13698.784</v>
      </c>
      <c r="G47" s="16">
        <f>'2017 Ranked by GDP'!H56-'2000 Ranked by GDP'!K56</f>
        <v>112573.784</v>
      </c>
      <c r="H47" s="16">
        <f>'2017 Ranked by GDP'!I56-'2000 Ranked by GDP'!L56</f>
        <v>480210</v>
      </c>
      <c r="I47" s="16">
        <f>'2017 Ranked by GDP'!J56-'2000 Ranked by GDP'!M56</f>
        <v>607.90432223927257</v>
      </c>
      <c r="J47" s="16">
        <f>'2017 Ranked by GDP'!K56-'2000 Ranked by GDP'!N56</f>
        <v>3301.9584538236691</v>
      </c>
      <c r="K47" s="16">
        <f>'2017 Ranked by GDP'!L56-'2000 Ranked by GDP'!O56</f>
        <v>25277.782079296067</v>
      </c>
      <c r="L47" s="16">
        <f>'2017 Ranked by GDP'!M56-'2000 Ranked by GDP'!P56</f>
        <v>-16210.871599866314</v>
      </c>
      <c r="M47" s="16">
        <f>'2017 Ranked by GDP'!N56-'2000 Ranked by GDP'!Q56</f>
        <v>-38186.695225338713</v>
      </c>
      <c r="N47" s="18"/>
    </row>
    <row r="48" spans="1:14">
      <c r="A48" s="14">
        <v>30</v>
      </c>
      <c r="B48" s="15" t="s">
        <v>112</v>
      </c>
      <c r="C48" s="27">
        <f>'2017 Ranked by GDP'!C57-'2000 Ranked by GDP'!C57</f>
        <v>93744</v>
      </c>
      <c r="D48" s="16">
        <f>'2017 Ranked by GDP'!E57-'2000 Ranked by GDP'!H57</f>
        <v>-4279.7880000000041</v>
      </c>
      <c r="E48" s="16">
        <f>'2017 Ranked by GDP'!F57-'2000 Ranked by GDP'!I57</f>
        <v>4390.0230000000001</v>
      </c>
      <c r="F48" s="16">
        <f>'2017 Ranked by GDP'!G57-'2000 Ranked by GDP'!J57</f>
        <v>-8669.8110000000015</v>
      </c>
      <c r="G48" s="16">
        <f>'2017 Ranked by GDP'!H57-'2000 Ranked by GDP'!K57</f>
        <v>85074.189000000013</v>
      </c>
      <c r="H48" s="16">
        <f>'2017 Ranked by GDP'!I57-'2000 Ranked by GDP'!L57</f>
        <v>219387</v>
      </c>
      <c r="I48" s="16">
        <f>'2017 Ranked by GDP'!J57-'2000 Ranked by GDP'!M57</f>
        <v>1298.0219153691135</v>
      </c>
      <c r="J48" s="16">
        <f>'2017 Ranked by GDP'!K57-'2000 Ranked by GDP'!N57</f>
        <v>-3360.0943424409934</v>
      </c>
      <c r="K48" s="16">
        <f>'2017 Ranked by GDP'!L57-'2000 Ranked by GDP'!O57</f>
        <v>24291.123613494186</v>
      </c>
      <c r="L48" s="16">
        <f>'2017 Ranked by GDP'!M57-'2000 Ranked by GDP'!P57</f>
        <v>-17197.530065668194</v>
      </c>
      <c r="M48" s="16">
        <f>'2017 Ranked by GDP'!N57-'2000 Ranked by GDP'!Q57</f>
        <v>-44848.748021603373</v>
      </c>
      <c r="N48" s="18"/>
    </row>
    <row r="49" spans="1:14">
      <c r="A49" s="14">
        <v>31</v>
      </c>
      <c r="B49" s="15" t="s">
        <v>115</v>
      </c>
      <c r="C49" s="27">
        <f>'2017 Ranked by GDP'!C58-'2000 Ranked by GDP'!C58</f>
        <v>97349</v>
      </c>
      <c r="D49" s="16">
        <f>'2017 Ranked by GDP'!E58-'2000 Ranked by GDP'!H58</f>
        <v>17290.374</v>
      </c>
      <c r="E49" s="16">
        <f>'2017 Ranked by GDP'!F58-'2000 Ranked by GDP'!I58</f>
        <v>2922.884</v>
      </c>
      <c r="F49" s="16">
        <f>'2017 Ranked by GDP'!G58-'2000 Ranked by GDP'!J58</f>
        <v>14367.489999999998</v>
      </c>
      <c r="G49" s="16">
        <f>'2017 Ranked by GDP'!H58-'2000 Ranked by GDP'!K58</f>
        <v>103285.68999999999</v>
      </c>
      <c r="H49" s="16">
        <f>'2017 Ranked by GDP'!I58-'2000 Ranked by GDP'!L58</f>
        <v>777018</v>
      </c>
      <c r="I49" s="16">
        <f>'2017 Ranked by GDP'!J58-'2000 Ranked by GDP'!M58</f>
        <v>478.52005853508922</v>
      </c>
      <c r="J49" s="16">
        <f>'2017 Ranked by GDP'!K58-'2000 Ranked by GDP'!N58</f>
        <v>3507.8651897483405</v>
      </c>
      <c r="K49" s="16">
        <f>'2017 Ranked by GDP'!L58-'2000 Ranked by GDP'!O58</f>
        <v>23985.202889329412</v>
      </c>
      <c r="L49" s="16">
        <f>'2017 Ranked by GDP'!M58-'2000 Ranked by GDP'!P58</f>
        <v>-17503.450789832968</v>
      </c>
      <c r="M49" s="16">
        <f>'2017 Ranked by GDP'!N58-'2000 Ranked by GDP'!Q58</f>
        <v>-37980.788489414037</v>
      </c>
      <c r="N49" s="18"/>
    </row>
    <row r="50" spans="1:14">
      <c r="A50" s="14">
        <v>32</v>
      </c>
      <c r="B50" s="15" t="s">
        <v>119</v>
      </c>
      <c r="C50" s="27">
        <f>'2017 Ranked by GDP'!C59-'2000 Ranked by GDP'!C59</f>
        <v>76296</v>
      </c>
      <c r="D50" s="16">
        <f>'2017 Ranked by GDP'!E59-'2000 Ranked by GDP'!H59</f>
        <v>1459.6560000000027</v>
      </c>
      <c r="E50" s="16">
        <f>'2017 Ranked by GDP'!F59-'2000 Ranked by GDP'!I59</f>
        <v>6153.3190000000004</v>
      </c>
      <c r="F50" s="16">
        <f>'2017 Ranked by GDP'!G59-'2000 Ranked by GDP'!J59</f>
        <v>-4693.6629999999986</v>
      </c>
      <c r="G50" s="16">
        <f>'2017 Ranked by GDP'!H59-'2000 Ranked by GDP'!K59</f>
        <v>71602.337</v>
      </c>
      <c r="H50" s="16">
        <f>'2017 Ranked by GDP'!I59-'2000 Ranked by GDP'!L59</f>
        <v>224705</v>
      </c>
      <c r="I50" s="16">
        <f>'2017 Ranked by GDP'!J59-'2000 Ranked by GDP'!M59</f>
        <v>2029.5498206838154</v>
      </c>
      <c r="J50" s="16">
        <f>'2017 Ranked by GDP'!K59-'2000 Ranked by GDP'!N59</f>
        <v>-2007.1535196375953</v>
      </c>
      <c r="K50" s="16">
        <f>'2017 Ranked by GDP'!L59-'2000 Ranked by GDP'!O59</f>
        <v>21807.274052269306</v>
      </c>
      <c r="L50" s="16">
        <f>'2017 Ranked by GDP'!M59-'2000 Ranked by GDP'!P59</f>
        <v>-19681.379626893075</v>
      </c>
      <c r="M50" s="16">
        <f>'2017 Ranked by GDP'!N59-'2000 Ranked by GDP'!Q59</f>
        <v>-43495.807198799979</v>
      </c>
      <c r="N50" s="18"/>
    </row>
    <row r="51" spans="1:14">
      <c r="A51" s="14">
        <v>33</v>
      </c>
      <c r="B51" s="15" t="s">
        <v>120</v>
      </c>
      <c r="C51" s="27">
        <f>'2017 Ranked by GDP'!C60-'2000 Ranked by GDP'!C60</f>
        <v>84583</v>
      </c>
      <c r="D51" s="16">
        <f>'2017 Ranked by GDP'!E60-'2000 Ranked by GDP'!H60</f>
        <v>-12034.085999999999</v>
      </c>
      <c r="E51" s="16">
        <f>'2017 Ranked by GDP'!F60-'2000 Ranked by GDP'!I60</f>
        <v>-1089.4319999999989</v>
      </c>
      <c r="F51" s="16">
        <f>'2017 Ranked by GDP'!G60-'2000 Ranked by GDP'!J60</f>
        <v>-10944.654</v>
      </c>
      <c r="G51" s="16">
        <f>'2017 Ranked by GDP'!H60-'2000 Ranked by GDP'!K60</f>
        <v>73638.346000000005</v>
      </c>
      <c r="H51" s="16">
        <f>'2017 Ranked by GDP'!I60-'2000 Ranked by GDP'!L60</f>
        <v>999782</v>
      </c>
      <c r="I51" s="16">
        <f>'2017 Ranked by GDP'!J60-'2000 Ranked by GDP'!M60</f>
        <v>-1831.8356264675836</v>
      </c>
      <c r="J51" s="16">
        <f>'2017 Ranked by GDP'!K60-'2000 Ranked by GDP'!N60</f>
        <v>-6634.1734508682421</v>
      </c>
      <c r="K51" s="16">
        <f>'2017 Ranked by GDP'!L60-'2000 Ranked by GDP'!O60</f>
        <v>9276.0236166226096</v>
      </c>
      <c r="L51" s="16">
        <f>'2017 Ranked by GDP'!M60-'2000 Ranked by GDP'!P60</f>
        <v>-32212.630062539771</v>
      </c>
      <c r="M51" s="16">
        <f>'2017 Ranked by GDP'!N60-'2000 Ranked by GDP'!Q60</f>
        <v>-48122.827130030622</v>
      </c>
      <c r="N51" s="18"/>
    </row>
    <row r="52" spans="1:14">
      <c r="A52" s="14">
        <v>34</v>
      </c>
      <c r="B52" s="15" t="s">
        <v>124</v>
      </c>
      <c r="C52" s="27">
        <f>'2017 Ranked by GDP'!C61-'2000 Ranked by GDP'!C61</f>
        <v>55903</v>
      </c>
      <c r="D52" s="16">
        <f>'2017 Ranked by GDP'!E61-'2000 Ranked by GDP'!H61</f>
        <v>2708.114999999998</v>
      </c>
      <c r="E52" s="16">
        <f>'2017 Ranked by GDP'!F61-'2000 Ranked by GDP'!I61</f>
        <v>6577.8669999999993</v>
      </c>
      <c r="F52" s="16">
        <f>'2017 Ranked by GDP'!G61-'2000 Ranked by GDP'!J61</f>
        <v>-3869.7520000000004</v>
      </c>
      <c r="G52" s="16">
        <f>'2017 Ranked by GDP'!H61-'2000 Ranked by GDP'!K61</f>
        <v>52033.248000000007</v>
      </c>
      <c r="H52" s="16">
        <f>'2017 Ranked by GDP'!I61-'2000 Ranked by GDP'!L61</f>
        <v>330879</v>
      </c>
      <c r="I52" s="16">
        <f>'2017 Ranked by GDP'!J61-'2000 Ranked by GDP'!M61</f>
        <v>1993.1486874181019</v>
      </c>
      <c r="J52" s="16">
        <f>'2017 Ranked by GDP'!K61-'2000 Ranked by GDP'!N61</f>
        <v>-2099.6013944041533</v>
      </c>
      <c r="K52" s="16">
        <f>'2017 Ranked by GDP'!L61-'2000 Ranked by GDP'!O61</f>
        <v>13756.193983403085</v>
      </c>
      <c r="L52" s="16">
        <f>'2017 Ranked by GDP'!M61-'2000 Ranked by GDP'!P61</f>
        <v>-27732.459695759295</v>
      </c>
      <c r="M52" s="16">
        <f>'2017 Ranked by GDP'!N61-'2000 Ranked by GDP'!Q61</f>
        <v>-43588.255073566535</v>
      </c>
      <c r="N52" s="18"/>
    </row>
    <row r="53" spans="1:14">
      <c r="A53" s="14">
        <v>35</v>
      </c>
      <c r="B53" s="15" t="s">
        <v>127</v>
      </c>
      <c r="C53" s="27">
        <f>'2017 Ranked by GDP'!C62-'2000 Ranked by GDP'!C62</f>
        <v>64110</v>
      </c>
      <c r="D53" s="16">
        <f>'2017 Ranked by GDP'!E62-'2000 Ranked by GDP'!H62</f>
        <v>5582.6829999999991</v>
      </c>
      <c r="E53" s="16">
        <f>'2017 Ranked by GDP'!F62-'2000 Ranked by GDP'!I62</f>
        <v>1095.655</v>
      </c>
      <c r="F53" s="16">
        <f>'2017 Ranked by GDP'!G62-'2000 Ranked by GDP'!J62</f>
        <v>4487.0280000000002</v>
      </c>
      <c r="G53" s="16">
        <f>'2017 Ranked by GDP'!H62-'2000 Ranked by GDP'!K62</f>
        <v>62470.627999999997</v>
      </c>
      <c r="H53" s="16">
        <f>'2017 Ranked by GDP'!I62-'2000 Ranked by GDP'!L62</f>
        <v>191784</v>
      </c>
      <c r="I53" s="16">
        <f>'2017 Ranked by GDP'!J62-'2000 Ranked by GDP'!M62</f>
        <v>494.98471381801221</v>
      </c>
      <c r="J53" s="16">
        <f>'2017 Ranked by GDP'!K62-'2000 Ranked by GDP'!N62</f>
        <v>1854.3586140970401</v>
      </c>
      <c r="K53" s="16">
        <f>'2017 Ranked by GDP'!L62-'2000 Ranked by GDP'!O62</f>
        <v>28492.638758835688</v>
      </c>
      <c r="L53" s="16">
        <f>'2017 Ranked by GDP'!M62-'2000 Ranked by GDP'!P62</f>
        <v>-12996.014920326692</v>
      </c>
      <c r="M53" s="16">
        <f>'2017 Ranked by GDP'!N62-'2000 Ranked by GDP'!Q62</f>
        <v>-39634.295065065337</v>
      </c>
      <c r="N53" s="18"/>
    </row>
    <row r="54" spans="1:14">
      <c r="A54" s="14">
        <v>36</v>
      </c>
      <c r="B54" s="15" t="s">
        <v>132</v>
      </c>
      <c r="C54" s="27">
        <f>'2017 Ranked by GDP'!C63-'2000 Ranked by GDP'!C63</f>
        <v>45109</v>
      </c>
      <c r="D54" s="16">
        <f>'2017 Ranked by GDP'!E63-'2000 Ranked by GDP'!H63</f>
        <v>-4027.2180000000008</v>
      </c>
      <c r="E54" s="16">
        <f>'2017 Ranked by GDP'!F63-'2000 Ranked by GDP'!I63</f>
        <v>5705.1239999999989</v>
      </c>
      <c r="F54" s="16">
        <f>'2017 Ranked by GDP'!G63-'2000 Ranked by GDP'!J63</f>
        <v>-9732.3419999999987</v>
      </c>
      <c r="G54" s="16">
        <f>'2017 Ranked by GDP'!H63-'2000 Ranked by GDP'!K63</f>
        <v>35376.657999999996</v>
      </c>
      <c r="H54" s="16">
        <f>'2017 Ranked by GDP'!I63-'2000 Ranked by GDP'!L63</f>
        <v>139442</v>
      </c>
      <c r="I54" s="16">
        <f>'2017 Ranked by GDP'!J63-'2000 Ranked by GDP'!M63</f>
        <v>1810.9898396051958</v>
      </c>
      <c r="J54" s="16">
        <f>'2017 Ranked by GDP'!K63-'2000 Ranked by GDP'!N63</f>
        <v>-3646.1517869355757</v>
      </c>
      <c r="K54" s="16">
        <f>'2017 Ranked by GDP'!L63-'2000 Ranked by GDP'!O63</f>
        <v>10414.620810822125</v>
      </c>
      <c r="L54" s="16">
        <f>'2017 Ranked by GDP'!M63-'2000 Ranked by GDP'!P63</f>
        <v>-31074.032868340255</v>
      </c>
      <c r="M54" s="16">
        <f>'2017 Ranked by GDP'!N63-'2000 Ranked by GDP'!Q63</f>
        <v>-45134.805466097954</v>
      </c>
      <c r="N54" s="18"/>
    </row>
    <row r="55" spans="1:14">
      <c r="A55" s="14">
        <v>37</v>
      </c>
      <c r="B55" s="15" t="s">
        <v>133</v>
      </c>
      <c r="C55" s="27">
        <f>'2017 Ranked by GDP'!C64-'2000 Ranked by GDP'!C64</f>
        <v>43486</v>
      </c>
      <c r="D55" s="16">
        <f>'2017 Ranked by GDP'!E64-'2000 Ranked by GDP'!H64</f>
        <v>-3201.3159999999989</v>
      </c>
      <c r="E55" s="16">
        <f>'2017 Ranked by GDP'!F64-'2000 Ranked by GDP'!I64</f>
        <v>5772.1430000000009</v>
      </c>
      <c r="F55" s="16">
        <f>'2017 Ranked by GDP'!G64-'2000 Ranked by GDP'!J64</f>
        <v>-8973.4589999999953</v>
      </c>
      <c r="G55" s="16">
        <f>'2017 Ranked by GDP'!H64-'2000 Ranked by GDP'!K64</f>
        <v>34512.541000000012</v>
      </c>
      <c r="H55" s="16">
        <f>'2017 Ranked by GDP'!I64-'2000 Ranked by GDP'!L64</f>
        <v>269024</v>
      </c>
      <c r="I55" s="16">
        <f>'2017 Ranked by GDP'!J64-'2000 Ranked by GDP'!M64</f>
        <v>2239.7305375185251</v>
      </c>
      <c r="J55" s="16">
        <f>'2017 Ranked by GDP'!K64-'2000 Ranked by GDP'!N64</f>
        <v>-6916.8328009612178</v>
      </c>
      <c r="K55" s="16">
        <f>'2017 Ranked by GDP'!L64-'2000 Ranked by GDP'!O64</f>
        <v>10316.369303235195</v>
      </c>
      <c r="L55" s="16">
        <f>'2017 Ranked by GDP'!M64-'2000 Ranked by GDP'!P64</f>
        <v>-31172.284375927185</v>
      </c>
      <c r="M55" s="16">
        <f>'2017 Ranked by GDP'!N64-'2000 Ranked by GDP'!Q64</f>
        <v>-48405.486480123596</v>
      </c>
      <c r="N55" s="18"/>
    </row>
    <row r="56" spans="1:14">
      <c r="A56" s="14">
        <v>38</v>
      </c>
      <c r="B56" s="15" t="s">
        <v>149</v>
      </c>
      <c r="C56" s="27">
        <f>'2017 Ranked by GDP'!C65-'2000 Ranked by GDP'!C65</f>
        <v>48246</v>
      </c>
      <c r="D56" s="16">
        <f>'2017 Ranked by GDP'!E65-'2000 Ranked by GDP'!H65</f>
        <v>8695.0560000000005</v>
      </c>
      <c r="E56" s="16">
        <f>'2017 Ranked by GDP'!F65-'2000 Ranked by GDP'!I65</f>
        <v>16953.61</v>
      </c>
      <c r="F56" s="16">
        <f>'2017 Ranked by GDP'!G65-'2000 Ranked by GDP'!J65</f>
        <v>-8258.5540000000001</v>
      </c>
      <c r="G56" s="16">
        <f>'2017 Ranked by GDP'!H65-'2000 Ranked by GDP'!K65</f>
        <v>39987.445999999996</v>
      </c>
      <c r="H56" s="16">
        <f>'2017 Ranked by GDP'!I65-'2000 Ranked by GDP'!L65</f>
        <v>216001</v>
      </c>
      <c r="I56" s="16">
        <f>'2017 Ranked by GDP'!J65-'2000 Ranked by GDP'!M65</f>
        <v>11124.327993032683</v>
      </c>
      <c r="J56" s="16">
        <f>'2017 Ranked by GDP'!K65-'2000 Ranked by GDP'!N65</f>
        <v>-6949.5261622203225</v>
      </c>
      <c r="K56" s="16">
        <f>'2017 Ranked by GDP'!L65-'2000 Ranked by GDP'!O65</f>
        <v>21826.25135487118</v>
      </c>
      <c r="L56" s="16">
        <f>'2017 Ranked by GDP'!M65-'2000 Ranked by GDP'!P65</f>
        <v>-19662.402324291201</v>
      </c>
      <c r="M56" s="16">
        <f>'2017 Ranked by GDP'!N65-'2000 Ranked by GDP'!Q65</f>
        <v>-48438.179841382705</v>
      </c>
      <c r="N56" s="18"/>
    </row>
    <row r="57" spans="1:14">
      <c r="A57" s="14">
        <v>39</v>
      </c>
      <c r="B57" s="15" t="s">
        <v>150</v>
      </c>
      <c r="C57" s="27">
        <f>'2017 Ranked by GDP'!C66-'2000 Ranked by GDP'!C66</f>
        <v>38132</v>
      </c>
      <c r="D57" s="16">
        <f>'2017 Ranked by GDP'!E66-'2000 Ranked by GDP'!H66</f>
        <v>3578.1869999999999</v>
      </c>
      <c r="E57" s="16">
        <f>'2017 Ranked by GDP'!F66-'2000 Ranked by GDP'!I66</f>
        <v>3013.3850000000002</v>
      </c>
      <c r="F57" s="16">
        <f>'2017 Ranked by GDP'!G66-'2000 Ranked by GDP'!J66</f>
        <v>564.80199999999968</v>
      </c>
      <c r="G57" s="16">
        <f>'2017 Ranked by GDP'!H66-'2000 Ranked by GDP'!K66</f>
        <v>38696.801999999996</v>
      </c>
      <c r="H57" s="16">
        <f>'2017 Ranked by GDP'!I66-'2000 Ranked by GDP'!L66</f>
        <v>107009</v>
      </c>
      <c r="I57" s="16">
        <f>'2017 Ranked by GDP'!J66-'2000 Ranked by GDP'!M66</f>
        <v>2134.6683591646879</v>
      </c>
      <c r="J57" s="16">
        <f>'2017 Ranked by GDP'!K66-'2000 Ranked by GDP'!N66</f>
        <v>289.95653441927243</v>
      </c>
      <c r="K57" s="16">
        <f>'2017 Ranked by GDP'!L66-'2000 Ranked by GDP'!O66</f>
        <v>25881.126987743977</v>
      </c>
      <c r="L57" s="16">
        <f>'2017 Ranked by GDP'!M66-'2000 Ranked by GDP'!P66</f>
        <v>-15607.526691418403</v>
      </c>
      <c r="M57" s="16">
        <f>'2017 Ranked by GDP'!N66-'2000 Ranked by GDP'!Q66</f>
        <v>-41198.697144743113</v>
      </c>
      <c r="N57" s="18"/>
    </row>
    <row r="58" spans="1:14">
      <c r="A58" s="14">
        <v>40</v>
      </c>
      <c r="B58" s="15" t="s">
        <v>151</v>
      </c>
      <c r="C58" s="27">
        <f>'2017 Ranked by GDP'!C67-'2000 Ranked by GDP'!C67</f>
        <v>32571</v>
      </c>
      <c r="D58" s="16">
        <f>'2017 Ranked by GDP'!E67-'2000 Ranked by GDP'!H67</f>
        <v>8473.3969999999972</v>
      </c>
      <c r="E58" s="16">
        <f>'2017 Ranked by GDP'!F67-'2000 Ranked by GDP'!I67</f>
        <v>5020.201</v>
      </c>
      <c r="F58" s="16">
        <f>'2017 Ranked by GDP'!G67-'2000 Ranked by GDP'!J67</f>
        <v>3453.1959999999972</v>
      </c>
      <c r="G58" s="16">
        <f>'2017 Ranked by GDP'!H67-'2000 Ranked by GDP'!K67</f>
        <v>32066.496000000006</v>
      </c>
      <c r="H58" s="16">
        <f>'2017 Ranked by GDP'!I67-'2000 Ranked by GDP'!L67</f>
        <v>-79557</v>
      </c>
      <c r="I58" s="16">
        <f>'2017 Ranked by GDP'!J67-'2000 Ranked by GDP'!M67</f>
        <v>2937.491740819285</v>
      </c>
      <c r="J58" s="16">
        <f>'2017 Ranked by GDP'!K67-'2000 Ranked by GDP'!N67</f>
        <v>1984.5488540591459</v>
      </c>
      <c r="K58" s="16">
        <f>'2017 Ranked by GDP'!L67-'2000 Ranked by GDP'!O67</f>
        <v>18792.20913952609</v>
      </c>
      <c r="L58" s="16">
        <f>'2017 Ranked by GDP'!M67-'2000 Ranked by GDP'!P67</f>
        <v>-22696.44453963629</v>
      </c>
      <c r="M58" s="16">
        <f>'2017 Ranked by GDP'!N67-'2000 Ranked by GDP'!Q67</f>
        <v>-39504.104825103233</v>
      </c>
      <c r="N58" s="18"/>
    </row>
    <row r="59" spans="1:14">
      <c r="A59" s="14">
        <v>41</v>
      </c>
      <c r="B59" s="15" t="s">
        <v>152</v>
      </c>
      <c r="C59" s="27">
        <f>'2017 Ranked by GDP'!C68-'2000 Ranked by GDP'!C68</f>
        <v>30989</v>
      </c>
      <c r="D59" s="16">
        <f>'2017 Ranked by GDP'!E68-'2000 Ranked by GDP'!H68</f>
        <v>5907.4250000000011</v>
      </c>
      <c r="E59" s="16">
        <f>'2017 Ranked by GDP'!F68-'2000 Ranked by GDP'!I68</f>
        <v>7880.7930000000006</v>
      </c>
      <c r="F59" s="16">
        <f>'2017 Ranked by GDP'!G68-'2000 Ranked by GDP'!J68</f>
        <v>-1973.3679999999995</v>
      </c>
      <c r="G59" s="16">
        <f>'2017 Ranked by GDP'!H68-'2000 Ranked by GDP'!K68</f>
        <v>24729.731999999996</v>
      </c>
      <c r="H59" s="16">
        <f>'2017 Ranked by GDP'!I68-'2000 Ranked by GDP'!L68</f>
        <v>155770</v>
      </c>
      <c r="I59" s="16">
        <f>'2017 Ranked by GDP'!J68-'2000 Ranked by GDP'!M68</f>
        <v>7755.3327781963817</v>
      </c>
      <c r="J59" s="16">
        <f>'2017 Ranked by GDP'!K68-'2000 Ranked by GDP'!N68</f>
        <v>-2975.7487070936586</v>
      </c>
      <c r="K59" s="16">
        <f>'2017 Ranked by GDP'!L68-'2000 Ranked by GDP'!O68</f>
        <v>15592.625771008556</v>
      </c>
      <c r="L59" s="16">
        <f>'2017 Ranked by GDP'!M68-'2000 Ranked by GDP'!P68</f>
        <v>-25896.027908153825</v>
      </c>
      <c r="M59" s="16">
        <f>'2017 Ranked by GDP'!N68-'2000 Ranked by GDP'!Q68</f>
        <v>-44464.402386256035</v>
      </c>
      <c r="N59" s="18"/>
    </row>
    <row r="60" spans="1:14">
      <c r="A60" s="14">
        <v>42</v>
      </c>
      <c r="B60" s="15" t="s">
        <v>153</v>
      </c>
      <c r="C60" s="27">
        <f>'2017 Ranked by GDP'!C69-'2000 Ranked by GDP'!C69</f>
        <v>37305</v>
      </c>
      <c r="D60" s="16">
        <f>'2017 Ranked by GDP'!E69-'2000 Ranked by GDP'!H69</f>
        <v>892.65999999999985</v>
      </c>
      <c r="E60" s="16">
        <f>'2017 Ranked by GDP'!F69-'2000 Ranked by GDP'!I69</f>
        <v>-179.8420000000001</v>
      </c>
      <c r="F60" s="16">
        <f>'2017 Ranked by GDP'!G69-'2000 Ranked by GDP'!J69</f>
        <v>1072.5020000000004</v>
      </c>
      <c r="G60" s="16">
        <f>'2017 Ranked by GDP'!H69-'2000 Ranked by GDP'!K69</f>
        <v>38377.502</v>
      </c>
      <c r="H60" s="16">
        <f>'2017 Ranked by GDP'!I69-'2000 Ranked by GDP'!L69</f>
        <v>422990</v>
      </c>
      <c r="I60" s="16">
        <f>'2017 Ranked by GDP'!J69-'2000 Ranked by GDP'!M69</f>
        <v>-647.90912204868096</v>
      </c>
      <c r="J60" s="16">
        <f>'2017 Ranked by GDP'!K69-'2000 Ranked by GDP'!N69</f>
        <v>-1653.8516212604354</v>
      </c>
      <c r="K60" s="16">
        <f>'2017 Ranked by GDP'!L69-'2000 Ranked by GDP'!O69</f>
        <v>13411.985389406502</v>
      </c>
      <c r="L60" s="16">
        <f>'2017 Ranked by GDP'!M69-'2000 Ranked by GDP'!P69</f>
        <v>-28076.668289755879</v>
      </c>
      <c r="M60" s="16">
        <f>'2017 Ranked by GDP'!N69-'2000 Ranked by GDP'!Q69</f>
        <v>-43142.505300422818</v>
      </c>
      <c r="N60" s="18"/>
    </row>
    <row r="61" spans="1:14">
      <c r="A61" s="14">
        <v>43</v>
      </c>
      <c r="B61" s="15" t="s">
        <v>154</v>
      </c>
      <c r="C61" s="27">
        <f>'2017 Ranked by GDP'!C70-'2000 Ranked by GDP'!C70</f>
        <v>26161</v>
      </c>
      <c r="D61" s="16">
        <f>'2017 Ranked by GDP'!E70-'2000 Ranked by GDP'!H70</f>
        <v>4471.7929999999997</v>
      </c>
      <c r="E61" s="16">
        <f>'2017 Ranked by GDP'!F70-'2000 Ranked by GDP'!I70</f>
        <v>3941.6459999999997</v>
      </c>
      <c r="F61" s="16">
        <f>'2017 Ranked by GDP'!G70-'2000 Ranked by GDP'!J70</f>
        <v>530.14700000000016</v>
      </c>
      <c r="G61" s="16">
        <f>'2017 Ranked by GDP'!H70-'2000 Ranked by GDP'!K70</f>
        <v>26691.146999999997</v>
      </c>
      <c r="H61" s="16">
        <f>'2017 Ranked by GDP'!I70-'2000 Ranked by GDP'!L70</f>
        <v>60984</v>
      </c>
      <c r="I61" s="16">
        <f>'2017 Ranked by GDP'!J70-'2000 Ranked by GDP'!M70</f>
        <v>2888.1095747477084</v>
      </c>
      <c r="J61" s="16">
        <f>'2017 Ranked by GDP'!K70-'2000 Ranked by GDP'!N70</f>
        <v>336.34571911640842</v>
      </c>
      <c r="K61" s="16">
        <f>'2017 Ranked by GDP'!L70-'2000 Ranked by GDP'!O70</f>
        <v>18646.679118364947</v>
      </c>
      <c r="L61" s="16">
        <f>'2017 Ranked by GDP'!M70-'2000 Ranked by GDP'!P70</f>
        <v>-22841.974560797433</v>
      </c>
      <c r="M61" s="16">
        <f>'2017 Ranked by GDP'!N70-'2000 Ranked by GDP'!Q70</f>
        <v>-41152.307960045975</v>
      </c>
      <c r="N61" s="18"/>
    </row>
    <row r="62" spans="1:14">
      <c r="A62" s="14">
        <v>44</v>
      </c>
      <c r="B62" s="15" t="s">
        <v>155</v>
      </c>
      <c r="C62" s="27">
        <f>'2017 Ranked by GDP'!C71-'2000 Ranked by GDP'!C71</f>
        <v>25697</v>
      </c>
      <c r="D62" s="16">
        <f>'2017 Ranked by GDP'!E71-'2000 Ranked by GDP'!H71</f>
        <v>-2060.2090000000007</v>
      </c>
      <c r="E62" s="16">
        <f>'2017 Ranked by GDP'!F71-'2000 Ranked by GDP'!I71</f>
        <v>5911.4389999999994</v>
      </c>
      <c r="F62" s="16">
        <f>'2017 Ranked by GDP'!G71-'2000 Ranked by GDP'!J71</f>
        <v>-7971.6480000000001</v>
      </c>
      <c r="G62" s="16">
        <f>'2017 Ranked by GDP'!H71-'2000 Ranked by GDP'!K71</f>
        <v>17725.351999999999</v>
      </c>
      <c r="H62" s="16">
        <f>'2017 Ranked by GDP'!I71-'2000 Ranked by GDP'!L71</f>
        <v>11320</v>
      </c>
      <c r="I62" s="16">
        <f>'2017 Ranked by GDP'!J71-'2000 Ranked by GDP'!M71</f>
        <v>5557.9944907610916</v>
      </c>
      <c r="J62" s="16">
        <f>'2017 Ranked by GDP'!K71-'2000 Ranked by GDP'!N71</f>
        <v>-7602.8127070803157</v>
      </c>
      <c r="K62" s="16">
        <f>'2017 Ranked by GDP'!L71-'2000 Ranked by GDP'!O71</f>
        <v>16305.406938405948</v>
      </c>
      <c r="L62" s="16">
        <f>'2017 Ranked by GDP'!M71-'2000 Ranked by GDP'!P71</f>
        <v>-25183.246740756433</v>
      </c>
      <c r="M62" s="16">
        <f>'2017 Ranked by GDP'!N71-'2000 Ranked by GDP'!Q71</f>
        <v>-49091.466386242697</v>
      </c>
      <c r="N62" s="18"/>
    </row>
    <row r="63" spans="1:14">
      <c r="A63" s="14">
        <v>45</v>
      </c>
      <c r="B63" s="15" t="s">
        <v>156</v>
      </c>
      <c r="C63" s="27">
        <f>'2017 Ranked by GDP'!C72-'2000 Ranked by GDP'!C72</f>
        <v>34775</v>
      </c>
      <c r="D63" s="16">
        <f>'2017 Ranked by GDP'!E72-'2000 Ranked by GDP'!H72</f>
        <v>20578.038594999998</v>
      </c>
      <c r="E63" s="16">
        <f>'2017 Ranked by GDP'!F72-'2000 Ranked by GDP'!I72</f>
        <v>3537.0878599999996</v>
      </c>
      <c r="F63" s="16">
        <f>'2017 Ranked by GDP'!G72-'2000 Ranked by GDP'!J72</f>
        <v>17040.950735000002</v>
      </c>
      <c r="G63" s="16">
        <f>'2017 Ranked by GDP'!H72-'2000 Ranked by GDP'!K72</f>
        <v>49358.950735000006</v>
      </c>
      <c r="H63" s="16">
        <f>'2017 Ranked by GDP'!I72-'2000 Ranked by GDP'!L72</f>
        <v>117225</v>
      </c>
      <c r="I63" s="16">
        <f>'2017 Ranked by GDP'!J72-'2000 Ranked by GDP'!M72</f>
        <v>3838.4366810783185</v>
      </c>
      <c r="J63" s="16">
        <f>'2017 Ranked by GDP'!K72-'2000 Ranked by GDP'!N72</f>
        <v>21664.745864644439</v>
      </c>
      <c r="K63" s="16">
        <f>'2017 Ranked by GDP'!L72-'2000 Ranked by GDP'!O72</f>
        <v>59533.525851807972</v>
      </c>
      <c r="L63" s="16">
        <f>'2017 Ranked by GDP'!M72-'2000 Ranked by GDP'!P72</f>
        <v>18044.872172645591</v>
      </c>
      <c r="M63" s="16">
        <f>'2017 Ranked by GDP'!N72-'2000 Ranked by GDP'!Q72</f>
        <v>-19823.907814517937</v>
      </c>
      <c r="N63" s="18"/>
    </row>
    <row r="64" spans="1:14">
      <c r="A64" s="14">
        <v>46</v>
      </c>
      <c r="B64" s="15" t="s">
        <v>157</v>
      </c>
      <c r="C64" s="27">
        <f>'2017 Ranked by GDP'!C73-'2000 Ranked by GDP'!C73</f>
        <v>24445</v>
      </c>
      <c r="D64" s="16">
        <f>'2017 Ranked by GDP'!E73-'2000 Ranked by GDP'!H73</f>
        <v>24654.050000000003</v>
      </c>
      <c r="E64" s="16">
        <f>'2017 Ranked by GDP'!F73-'2000 Ranked by GDP'!I73</f>
        <v>3706.2659999999996</v>
      </c>
      <c r="F64" s="16">
        <f>'2017 Ranked by GDP'!G73-'2000 Ranked by GDP'!J73</f>
        <v>20947.784000000014</v>
      </c>
      <c r="G64" s="16">
        <f>'2017 Ranked by GDP'!H73-'2000 Ranked by GDP'!K73</f>
        <v>45392.784000000014</v>
      </c>
      <c r="H64" s="16">
        <f>'2017 Ranked by GDP'!I73-'2000 Ranked by GDP'!L73</f>
        <v>112863</v>
      </c>
      <c r="I64" s="16">
        <f>'2017 Ranked by GDP'!J73-'2000 Ranked by GDP'!M73</f>
        <v>3235.2164613502246</v>
      </c>
      <c r="J64" s="16">
        <f>'2017 Ranked by GDP'!K73-'2000 Ranked by GDP'!N73</f>
        <v>15893.160120608067</v>
      </c>
      <c r="K64" s="16">
        <f>'2017 Ranked by GDP'!L73-'2000 Ranked by GDP'!O73</f>
        <v>42357.549355969721</v>
      </c>
      <c r="L64" s="16">
        <f>'2017 Ranked by GDP'!M73-'2000 Ranked by GDP'!P73</f>
        <v>868.89567680734035</v>
      </c>
      <c r="M64" s="16">
        <f>'2017 Ranked by GDP'!N73-'2000 Ranked by GDP'!Q73</f>
        <v>-25595.493558554313</v>
      </c>
      <c r="N64" s="18"/>
    </row>
    <row r="65" spans="1:14">
      <c r="A65" s="14">
        <v>47</v>
      </c>
      <c r="B65" s="15" t="s">
        <v>158</v>
      </c>
      <c r="C65" s="27">
        <f>'2017 Ranked by GDP'!C74-'2000 Ranked by GDP'!C74</f>
        <v>26714</v>
      </c>
      <c r="D65" s="16">
        <f>'2017 Ranked by GDP'!E74-'2000 Ranked by GDP'!H74</f>
        <v>-629.53800000000047</v>
      </c>
      <c r="E65" s="16">
        <f>'2017 Ranked by GDP'!F74-'2000 Ranked by GDP'!I74</f>
        <v>-509.12799999999993</v>
      </c>
      <c r="F65" s="16">
        <f>'2017 Ranked by GDP'!G74-'2000 Ranked by GDP'!J74</f>
        <v>-120.41000000000076</v>
      </c>
      <c r="G65" s="16">
        <f>'2017 Ranked by GDP'!H74-'2000 Ranked by GDP'!K74</f>
        <v>26593.589999999997</v>
      </c>
      <c r="H65" s="16">
        <f>'2017 Ranked by GDP'!I74-'2000 Ranked by GDP'!L74</f>
        <v>114822</v>
      </c>
      <c r="I65" s="16">
        <f>'2017 Ranked by GDP'!J74-'2000 Ranked by GDP'!M74</f>
        <v>-874.08400754573131</v>
      </c>
      <c r="J65" s="16">
        <f>'2017 Ranked by GDP'!K74-'2000 Ranked by GDP'!N74</f>
        <v>-1298.8407062384831</v>
      </c>
      <c r="K65" s="16">
        <f>'2017 Ranked by GDP'!L74-'2000 Ranked by GDP'!O74</f>
        <v>25378.445889947026</v>
      </c>
      <c r="L65" s="16">
        <f>'2017 Ranked by GDP'!M74-'2000 Ranked by GDP'!P74</f>
        <v>-16110.207789215354</v>
      </c>
      <c r="M65" s="16">
        <f>'2017 Ranked by GDP'!N74-'2000 Ranked by GDP'!Q74</f>
        <v>-42787.494385400867</v>
      </c>
      <c r="N65" s="18"/>
    </row>
    <row r="66" spans="1:14">
      <c r="A66" s="14">
        <v>48</v>
      </c>
      <c r="B66" s="15" t="s">
        <v>159</v>
      </c>
      <c r="C66" s="27">
        <f>'2017 Ranked by GDP'!C75-'2000 Ranked by GDP'!C75</f>
        <v>25713</v>
      </c>
      <c r="D66" s="16">
        <f>'2017 Ranked by GDP'!E75-'2000 Ranked by GDP'!H75</f>
        <v>7146.3759999999993</v>
      </c>
      <c r="E66" s="16">
        <f>'2017 Ranked by GDP'!F75-'2000 Ranked by GDP'!I75</f>
        <v>2293.83</v>
      </c>
      <c r="F66" s="16">
        <f>'2017 Ranked by GDP'!G75-'2000 Ranked by GDP'!J75</f>
        <v>4852.5460000000003</v>
      </c>
      <c r="G66" s="16">
        <f>'2017 Ranked by GDP'!H75-'2000 Ranked by GDP'!K75</f>
        <v>30565.546000000002</v>
      </c>
      <c r="H66" s="16">
        <f>'2017 Ranked by GDP'!I75-'2000 Ranked by GDP'!L75</f>
        <v>148298</v>
      </c>
      <c r="I66" s="16">
        <f>'2017 Ranked by GDP'!J75-'2000 Ranked by GDP'!M75</f>
        <v>1947.6225499788177</v>
      </c>
      <c r="J66" s="16">
        <f>'2017 Ranked by GDP'!K75-'2000 Ranked by GDP'!N75</f>
        <v>4087.9756477538663</v>
      </c>
      <c r="K66" s="16">
        <f>'2017 Ranked by GDP'!L75-'2000 Ranked by GDP'!O75</f>
        <v>25221.834634610037</v>
      </c>
      <c r="L66" s="16">
        <f>'2017 Ranked by GDP'!M75-'2000 Ranked by GDP'!P75</f>
        <v>-16266.819044552343</v>
      </c>
      <c r="M66" s="16">
        <f>'2017 Ranked by GDP'!N75-'2000 Ranked by GDP'!Q75</f>
        <v>-37400.678031408512</v>
      </c>
      <c r="N66" s="18"/>
    </row>
    <row r="67" spans="1:14">
      <c r="A67" s="14">
        <v>49</v>
      </c>
      <c r="B67" s="15" t="s">
        <v>160</v>
      </c>
      <c r="C67" s="27">
        <f>'2017 Ranked by GDP'!C76-'2000 Ranked by GDP'!C76</f>
        <v>20706</v>
      </c>
      <c r="D67" s="16">
        <f>'2017 Ranked by GDP'!E76-'2000 Ranked by GDP'!H76</f>
        <v>19382.245716000001</v>
      </c>
      <c r="E67" s="16">
        <f>'2017 Ranked by GDP'!F76-'2000 Ranked by GDP'!I76</f>
        <v>4757.7896629999996</v>
      </c>
      <c r="F67" s="16">
        <f>'2017 Ranked by GDP'!G76-'2000 Ranked by GDP'!J76</f>
        <v>14624.456053000004</v>
      </c>
      <c r="G67" s="16">
        <f>'2017 Ranked by GDP'!H76-'2000 Ranked by GDP'!K76</f>
        <v>33545.856053000003</v>
      </c>
      <c r="H67" s="16">
        <f>'2017 Ranked by GDP'!I76-'2000 Ranked by GDP'!L76</f>
        <v>79298</v>
      </c>
      <c r="I67" s="16">
        <f>'2017 Ranked by GDP'!J76-'2000 Ranked by GDP'!M76</f>
        <v>7936.8342006682378</v>
      </c>
      <c r="J67" s="16">
        <f>'2017 Ranked by GDP'!K76-'2000 Ranked by GDP'!N76</f>
        <v>24010.02836622834</v>
      </c>
      <c r="K67" s="16">
        <f>'2017 Ranked by GDP'!L76-'2000 Ranked by GDP'!O76</f>
        <v>51438.70771210621</v>
      </c>
      <c r="L67" s="16">
        <f>'2017 Ranked by GDP'!M76-'2000 Ranked by GDP'!P76</f>
        <v>9950.05403294383</v>
      </c>
      <c r="M67" s="16">
        <f>'2017 Ranked by GDP'!N76-'2000 Ranked by GDP'!Q76</f>
        <v>-17478.62531293404</v>
      </c>
      <c r="N67" s="18"/>
    </row>
    <row r="68" spans="1:14" ht="13" thickBot="1">
      <c r="A68" s="19">
        <v>50</v>
      </c>
      <c r="B68" s="20" t="s">
        <v>161</v>
      </c>
      <c r="C68" s="27">
        <f>'2017 Ranked by GDP'!C77-'2000 Ranked by GDP'!C77</f>
        <v>14763</v>
      </c>
      <c r="D68" s="16">
        <f>'2017 Ranked by GDP'!E77-'2000 Ranked by GDP'!H77</f>
        <v>1017.1419999999998</v>
      </c>
      <c r="E68" s="16">
        <f>'2017 Ranked by GDP'!F77-'2000 Ranked by GDP'!I77</f>
        <v>2965.0190000000002</v>
      </c>
      <c r="F68" s="16">
        <f>'2017 Ranked by GDP'!G77-'2000 Ranked by GDP'!J77</f>
        <v>-1947.8770000000004</v>
      </c>
      <c r="G68" s="16">
        <f>'2017 Ranked by GDP'!H77-'2000 Ranked by GDP'!K77</f>
        <v>12815.123</v>
      </c>
      <c r="H68" s="16">
        <f>'2017 Ranked by GDP'!I77-'2000 Ranked by GDP'!L77</f>
        <v>14830</v>
      </c>
      <c r="I68" s="16">
        <f>'2017 Ranked by GDP'!J77-'2000 Ranked by GDP'!M77</f>
        <v>4706.9651253361517</v>
      </c>
      <c r="J68" s="16">
        <f>'2017 Ranked by GDP'!K77-'2000 Ranked by GDP'!N77</f>
        <v>-3249.1206520717851</v>
      </c>
      <c r="K68" s="16">
        <f>'2017 Ranked by GDP'!L77-'2000 Ranked by GDP'!O77</f>
        <v>19728.029348949414</v>
      </c>
      <c r="L68" s="16">
        <f>'2017 Ranked by GDP'!M77-'2000 Ranked by GDP'!P77</f>
        <v>-21760.624330212966</v>
      </c>
      <c r="M68" s="16">
        <f>'2017 Ranked by GDP'!N77-'2000 Ranked by GDP'!Q77</f>
        <v>-44737.774331234163</v>
      </c>
      <c r="N68" s="18"/>
    </row>
    <row r="69" spans="1:14" ht="13" thickBot="1">
      <c r="A69" s="23" t="s">
        <v>320</v>
      </c>
      <c r="B69" s="24"/>
      <c r="C69" s="25">
        <f t="shared" ref="C69" si="0">SUM(C19:C68)</f>
        <v>9546058</v>
      </c>
      <c r="D69" s="25">
        <f>'2017 Ranked by GDP'!E78-'2000 Ranked by GDP'!H78</f>
        <v>-16666.697689000517</v>
      </c>
      <c r="E69" s="25">
        <f>'2017 Ranked by GDP'!F78-'2000 Ranked by GDP'!I78</f>
        <v>1172149.8955230003</v>
      </c>
      <c r="F69" s="25">
        <f>'2017 Ranked by GDP'!G78-'2000 Ranked by GDP'!J78</f>
        <v>-1188816.5932120003</v>
      </c>
      <c r="G69" s="25">
        <f>'2017 Ranked by GDP'!H78-'2000 Ranked by GDP'!K78</f>
        <v>7804547.8067880142</v>
      </c>
      <c r="H69" s="25">
        <f>'2017 Ranked by GDP'!I78-'2000 Ranked by GDP'!L78</f>
        <v>40864498</v>
      </c>
      <c r="I69" s="25">
        <f>'2017 Ranked by GDP'!J78-'2000 Ranked by GDP'!M78</f>
        <v>3226.4929775191968</v>
      </c>
      <c r="J69" s="25">
        <f>'2017 Ranked by GDP'!K78-'2000 Ranked by GDP'!N78</f>
        <v>-4450.5095927535403</v>
      </c>
      <c r="K69" s="25">
        <f>'2017 Ranked by GDP'!L78-'2000 Ranked by GDP'!O78</f>
        <v>18687.166517130463</v>
      </c>
      <c r="L69" s="25">
        <f>'2017 Ranked by GDP'!M78-'2000 Ranked by GDP'!P78</f>
        <v>-22801.487162031917</v>
      </c>
      <c r="M69" s="25">
        <f>'2017 Ranked by GDP'!N78-'2000 Ranked by GDP'!Q78</f>
        <v>-45939.163271915924</v>
      </c>
      <c r="N69" s="18"/>
    </row>
    <row r="70" spans="1:14">
      <c r="A70" s="102" t="s">
        <v>1</v>
      </c>
      <c r="B70" s="102"/>
      <c r="C70" s="26">
        <f>SUM(C19:C28)</f>
        <v>5559606</v>
      </c>
      <c r="D70" s="16">
        <f>'2017 Ranked by GDP'!E79-'2000 Ranked by GDP'!H79</f>
        <v>-175007.97399999993</v>
      </c>
      <c r="E70" s="16">
        <f>'2017 Ranked by GDP'!F79-'2000 Ranked by GDP'!I79</f>
        <v>742040.04900000012</v>
      </c>
      <c r="F70" s="26">
        <f>'2017 Ranked by GDP'!G79-'2000 Ranked by GDP'!J79</f>
        <v>-917048.02300000004</v>
      </c>
      <c r="G70" s="26">
        <f>'2017 Ranked by GDP'!H79-'2000 Ranked by GDP'!K79</f>
        <v>4226288.0770000005</v>
      </c>
      <c r="H70" s="16">
        <f>'2017 Ranked by GDP'!I79-'2000 Ranked by GDP'!L79</f>
        <v>22137914</v>
      </c>
      <c r="I70" s="26">
        <f>'2017 Ranked by GDP'!J79-'2000 Ranked by GDP'!M79</f>
        <v>3823.4614516917745</v>
      </c>
      <c r="J70" s="26">
        <f>'2017 Ranked by GDP'!K79-'2000 Ranked by GDP'!N79</f>
        <v>-6120.383925789266</v>
      </c>
      <c r="K70" s="26">
        <f>'2017 Ranked by GDP'!L79-'2000 Ranked by GDP'!O79</f>
        <v>18761.720755587281</v>
      </c>
      <c r="L70" s="26">
        <f>'2017 Ranked by GDP'!M79-'2000 Ranked by GDP'!P79</f>
        <v>-22726.932923575099</v>
      </c>
      <c r="M70" s="26">
        <f>'2017 Ranked by GDP'!N79-'2000 Ranked by GDP'!Q79</f>
        <v>-47609.037604951649</v>
      </c>
      <c r="N70" s="18"/>
    </row>
    <row r="71" spans="1:14">
      <c r="A71" s="103" t="s">
        <v>4</v>
      </c>
      <c r="B71" s="103"/>
      <c r="C71" s="27">
        <f>SUM(C19:C38)</f>
        <v>7608393</v>
      </c>
      <c r="D71" s="16">
        <f>'2017 Ranked by GDP'!E80-'2000 Ranked by GDP'!H80</f>
        <v>-164898.61899999995</v>
      </c>
      <c r="E71" s="16">
        <f>'2017 Ranked by GDP'!F80-'2000 Ranked by GDP'!I80</f>
        <v>915679.74000000022</v>
      </c>
      <c r="F71" s="27">
        <f>'2017 Ranked by GDP'!G80-'2000 Ranked by GDP'!J80</f>
        <v>-1080578.3589999999</v>
      </c>
      <c r="G71" s="27">
        <f>'2017 Ranked by GDP'!H80-'2000 Ranked by GDP'!K80</f>
        <v>6052783.7410000023</v>
      </c>
      <c r="H71" s="16">
        <f>'2017 Ranked by GDP'!I80-'2000 Ranked by GDP'!L80</f>
        <v>32144397</v>
      </c>
      <c r="I71" s="27">
        <f>'2017 Ranked by GDP'!J80-'2000 Ranked by GDP'!M80</f>
        <v>3298.4495860046295</v>
      </c>
      <c r="J71" s="27">
        <f>'2017 Ranked by GDP'!K80-'2000 Ranked by GDP'!N80</f>
        <v>-5197.6007119999031</v>
      </c>
      <c r="K71" s="27">
        <f>'2017 Ranked by GDP'!L80-'2000 Ranked by GDP'!O80</f>
        <v>18892.781420553241</v>
      </c>
      <c r="L71" s="27">
        <f>'2017 Ranked by GDP'!M80-'2000 Ranked by GDP'!P80</f>
        <v>-22595.872258609139</v>
      </c>
      <c r="M71" s="27">
        <f>'2017 Ranked by GDP'!N80-'2000 Ranked by GDP'!Q80</f>
        <v>-46686.254391162285</v>
      </c>
      <c r="N71" s="18"/>
    </row>
    <row r="72" spans="1:14">
      <c r="A72" s="103" t="s">
        <v>3</v>
      </c>
      <c r="B72" s="103"/>
      <c r="C72" s="27">
        <f>SUM(C19:C48)</f>
        <v>8693005</v>
      </c>
      <c r="D72" s="16">
        <f>'2017 Ranked by GDP'!E81-'2000 Ranked by GDP'!H81</f>
        <v>-126551.52899999963</v>
      </c>
      <c r="E72" s="16">
        <f>'2017 Ranked by GDP'!F81-'2000 Ranked by GDP'!I81</f>
        <v>1085720.2390000001</v>
      </c>
      <c r="F72" s="27">
        <f>'2017 Ranked by GDP'!G81-'2000 Ranked by GDP'!J81</f>
        <v>-1212271.7680000002</v>
      </c>
      <c r="G72" s="27">
        <f>'2017 Ranked by GDP'!H81-'2000 Ranked by GDP'!K81</f>
        <v>6955082.0320000034</v>
      </c>
      <c r="H72" s="16">
        <f>'2017 Ranked by GDP'!I81-'2000 Ranked by GDP'!L81</f>
        <v>36450011</v>
      </c>
      <c r="I72" s="27">
        <f>'2017 Ranked by GDP'!J81-'2000 Ranked by GDP'!M81</f>
        <v>3338.4870911615021</v>
      </c>
      <c r="J72" s="27">
        <f>'2017 Ranked by GDP'!K81-'2000 Ranked by GDP'!N81</f>
        <v>-4912.9679654079191</v>
      </c>
      <c r="K72" s="27">
        <f>'2017 Ranked by GDP'!L81-'2000 Ranked by GDP'!O81</f>
        <v>18501.963442397748</v>
      </c>
      <c r="L72" s="27">
        <f>'2017 Ranked by GDP'!M81-'2000 Ranked by GDP'!P81</f>
        <v>-22986.690236764633</v>
      </c>
      <c r="M72" s="27">
        <f>'2017 Ranked by GDP'!N81-'2000 Ranked by GDP'!Q81</f>
        <v>-46401.621644570303</v>
      </c>
      <c r="N72" s="18"/>
    </row>
    <row r="73" spans="1:14">
      <c r="A73" s="103" t="s">
        <v>2</v>
      </c>
      <c r="B73" s="103"/>
      <c r="C73" s="27">
        <f>SUM(C19:C58)</f>
        <v>9278790</v>
      </c>
      <c r="D73" s="16">
        <f>'2017 Ranked by GDP'!E82-'2000 Ranked by GDP'!H82</f>
        <v>-98026.681000000332</v>
      </c>
      <c r="E73" s="16">
        <f>'2017 Ranked by GDP'!F82-'2000 Ranked by GDP'!I82</f>
        <v>1137844.9950000003</v>
      </c>
      <c r="F73" s="27">
        <f>'2017 Ranked by GDP'!G82-'2000 Ranked by GDP'!J82</f>
        <v>-1235871.6760000004</v>
      </c>
      <c r="G73" s="27">
        <f>'2017 Ranked by GDP'!H82-'2000 Ranked by GDP'!K82</f>
        <v>7498752.2240000088</v>
      </c>
      <c r="H73" s="16">
        <f>'2017 Ranked by GDP'!I82-'2000 Ranked by GDP'!L82</f>
        <v>39626098</v>
      </c>
      <c r="I73" s="27">
        <f>'2017 Ranked by GDP'!J82-'2000 Ranked by GDP'!M82</f>
        <v>3228.4743242903505</v>
      </c>
      <c r="J73" s="27">
        <f>'2017 Ranked by GDP'!K82-'2000 Ranked by GDP'!N82</f>
        <v>-4691.1367037293976</v>
      </c>
      <c r="K73" s="27">
        <f>'2017 Ranked by GDP'!L82-'2000 Ranked by GDP'!O82</f>
        <v>18466.819246220577</v>
      </c>
      <c r="L73" s="27">
        <f>'2017 Ranked by GDP'!M82-'2000 Ranked by GDP'!P82</f>
        <v>-23021.834432941803</v>
      </c>
      <c r="M73" s="27">
        <f>'2017 Ranked by GDP'!N82-'2000 Ranked by GDP'!Q82</f>
        <v>-46179.790382891777</v>
      </c>
      <c r="N73" s="18"/>
    </row>
    <row r="74" spans="1:14">
      <c r="A74" s="122" t="s">
        <v>319</v>
      </c>
      <c r="B74" s="123"/>
      <c r="C74" s="27">
        <f>SUM(C20:C59)</f>
        <v>7799323</v>
      </c>
      <c r="D74" s="18"/>
      <c r="E74" s="18"/>
      <c r="F74" s="18"/>
      <c r="G74" s="18"/>
      <c r="H74" s="18"/>
      <c r="I74" s="18"/>
      <c r="J74" s="18"/>
      <c r="K74" s="18"/>
      <c r="L74" s="18"/>
      <c r="M74" s="18"/>
      <c r="N74" s="18"/>
    </row>
    <row r="76" spans="1:14">
      <c r="A76" s="35" t="s">
        <v>321</v>
      </c>
      <c r="D76" s="16">
        <f>'2017 Ranked by GDP'!E85-'2000 Ranked by GDP'!E85</f>
        <v>-14479100</v>
      </c>
    </row>
    <row r="77" spans="1:14">
      <c r="A77" s="35" t="s">
        <v>318</v>
      </c>
      <c r="D77" s="16">
        <f>'2017 Ranked by GDP'!E86-'2000 Ranked by GDP'!E86</f>
        <v>44791307</v>
      </c>
    </row>
    <row r="78" spans="1:14">
      <c r="A78" s="35" t="s">
        <v>180</v>
      </c>
      <c r="D78" s="16">
        <f>'2017 Ranked by GDP'!E87-'2000 Ranked by GDP'!E87</f>
        <v>-41488.65367916238</v>
      </c>
    </row>
  </sheetData>
  <mergeCells count="15">
    <mergeCell ref="A2:M2"/>
    <mergeCell ref="A4:M4"/>
    <mergeCell ref="A6:B6"/>
    <mergeCell ref="A7:B7"/>
    <mergeCell ref="A8:B8"/>
    <mergeCell ref="A71:B71"/>
    <mergeCell ref="A72:B72"/>
    <mergeCell ref="A73:B73"/>
    <mergeCell ref="A74:B74"/>
    <mergeCell ref="A9:B9"/>
    <mergeCell ref="A12:B12"/>
    <mergeCell ref="A13:B13"/>
    <mergeCell ref="A14:B14"/>
    <mergeCell ref="A15:B15"/>
    <mergeCell ref="A70:B70"/>
  </mergeCells>
  <printOptions horizontalCentered="1"/>
  <pageMargins left="0.5" right="0.5" top="0.75" bottom="0.75" header="0.3" footer="0.3"/>
  <pageSetup paperSize="9" scale="81" fitToHeight="0" orientation="landscape" horizontalDpi="4294967293" verticalDpi="4294967293"/>
  <headerFooter>
    <oddHeader xml:space="preserve">&amp;R&amp;8
</oddHeader>
    <oddFooter>&amp;C&amp;"Arial,Regular"&amp;10&amp;P of &amp;N</oddFooter>
  </headerFooter>
  <rowBreaks count="1" manualBreakCount="1">
    <brk id="16" max="16383"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D8" sqref="D8"/>
    </sheetView>
  </sheetViews>
  <sheetFormatPr baseColWidth="10" defaultColWidth="8.83203125" defaultRowHeight="14" x14ac:dyDescent="0"/>
  <cols>
    <col min="2" max="2" width="17.33203125" bestFit="1" customWidth="1"/>
    <col min="3" max="3" width="133.1640625" customWidth="1"/>
    <col min="4" max="4" width="10.6640625" customWidth="1"/>
  </cols>
  <sheetData>
    <row r="1" spans="1:4">
      <c r="A1" s="5" t="s">
        <v>45</v>
      </c>
      <c r="B1" s="5" t="s">
        <v>0</v>
      </c>
      <c r="C1" t="s">
        <v>56</v>
      </c>
      <c r="D1" t="s">
        <v>66</v>
      </c>
    </row>
    <row r="2" spans="1:4">
      <c r="A2" s="2">
        <v>1</v>
      </c>
      <c r="B2" s="3" t="s">
        <v>46</v>
      </c>
      <c r="C2" s="6" t="s">
        <v>58</v>
      </c>
      <c r="D2" s="7" t="s">
        <v>162</v>
      </c>
    </row>
    <row r="3" spans="1:4">
      <c r="A3" s="2">
        <v>2</v>
      </c>
      <c r="B3" s="4" t="s">
        <v>53</v>
      </c>
      <c r="C3" s="6" t="s">
        <v>117</v>
      </c>
      <c r="D3" s="7" t="s">
        <v>113</v>
      </c>
    </row>
    <row r="4" spans="1:4">
      <c r="A4" s="2">
        <v>3</v>
      </c>
      <c r="B4" s="3" t="s">
        <v>54</v>
      </c>
      <c r="C4" s="6" t="s">
        <v>59</v>
      </c>
      <c r="D4" s="7">
        <v>31</v>
      </c>
    </row>
    <row r="5" spans="1:4">
      <c r="A5" s="2">
        <v>4</v>
      </c>
      <c r="B5" s="3" t="s">
        <v>47</v>
      </c>
      <c r="C5" s="6" t="s">
        <v>60</v>
      </c>
      <c r="D5" s="7">
        <v>22</v>
      </c>
    </row>
    <row r="6" spans="1:4" ht="15" customHeight="1">
      <c r="A6" s="2">
        <v>5</v>
      </c>
      <c r="B6" s="3" t="s">
        <v>48</v>
      </c>
      <c r="C6" s="6" t="s">
        <v>61</v>
      </c>
      <c r="D6" s="7" t="s">
        <v>68</v>
      </c>
    </row>
    <row r="7" spans="1:4">
      <c r="A7" s="2">
        <v>6</v>
      </c>
      <c r="B7" s="4" t="s">
        <v>49</v>
      </c>
      <c r="C7" s="6" t="s">
        <v>62</v>
      </c>
      <c r="D7" s="7" t="s">
        <v>67</v>
      </c>
    </row>
    <row r="8" spans="1:4">
      <c r="A8" s="2">
        <v>7</v>
      </c>
      <c r="B8" s="4" t="s">
        <v>50</v>
      </c>
      <c r="C8" s="6" t="s">
        <v>63</v>
      </c>
      <c r="D8" s="7" t="s">
        <v>141</v>
      </c>
    </row>
    <row r="9" spans="1:4">
      <c r="A9" s="2">
        <v>8</v>
      </c>
      <c r="B9" s="4" t="s">
        <v>51</v>
      </c>
      <c r="C9" s="6" t="s">
        <v>64</v>
      </c>
      <c r="D9" s="7" t="s">
        <v>68</v>
      </c>
    </row>
    <row r="10" spans="1:4">
      <c r="A10" s="2">
        <v>9</v>
      </c>
      <c r="B10" s="4" t="s">
        <v>52</v>
      </c>
      <c r="C10" s="6" t="s">
        <v>65</v>
      </c>
      <c r="D10" s="7">
        <v>29</v>
      </c>
    </row>
    <row r="11" spans="1:4">
      <c r="A11" s="2">
        <v>10</v>
      </c>
      <c r="B11" s="4" t="s">
        <v>71</v>
      </c>
      <c r="C11" s="6" t="s">
        <v>57</v>
      </c>
      <c r="D11" s="7" t="s">
        <v>69</v>
      </c>
    </row>
    <row r="12" spans="1:4">
      <c r="A12" s="2">
        <v>11</v>
      </c>
      <c r="B12" s="4" t="s">
        <v>5</v>
      </c>
      <c r="C12" s="1" t="s">
        <v>129</v>
      </c>
      <c r="D12" s="7" t="s">
        <v>72</v>
      </c>
    </row>
    <row r="13" spans="1:4">
      <c r="A13" s="2">
        <v>12</v>
      </c>
      <c r="B13" s="3" t="s">
        <v>6</v>
      </c>
      <c r="C13" s="1" t="s">
        <v>73</v>
      </c>
      <c r="D13" s="7" t="s">
        <v>69</v>
      </c>
    </row>
    <row r="14" spans="1:4">
      <c r="A14" s="2">
        <v>13</v>
      </c>
      <c r="B14" s="3" t="s">
        <v>7</v>
      </c>
      <c r="C14" t="s">
        <v>75</v>
      </c>
      <c r="D14" s="7" t="s">
        <v>76</v>
      </c>
    </row>
    <row r="15" spans="1:4">
      <c r="A15" s="2">
        <v>14</v>
      </c>
      <c r="B15" s="3" t="s">
        <v>8</v>
      </c>
      <c r="C15" s="1" t="s">
        <v>78</v>
      </c>
      <c r="D15" s="7" t="s">
        <v>103</v>
      </c>
    </row>
    <row r="16" spans="1:4">
      <c r="A16" s="2">
        <v>15</v>
      </c>
      <c r="B16" s="3" t="s">
        <v>9</v>
      </c>
      <c r="C16" s="1" t="s">
        <v>81</v>
      </c>
      <c r="D16" s="7">
        <v>26</v>
      </c>
    </row>
    <row r="17" spans="1:4">
      <c r="A17" s="2">
        <v>16</v>
      </c>
      <c r="B17" s="4" t="s">
        <v>10</v>
      </c>
      <c r="C17" s="1" t="s">
        <v>83</v>
      </c>
      <c r="D17" s="7">
        <v>24</v>
      </c>
    </row>
    <row r="18" spans="1:4">
      <c r="A18" s="2">
        <v>17</v>
      </c>
      <c r="B18" s="4" t="s">
        <v>11</v>
      </c>
      <c r="C18" t="s">
        <v>85</v>
      </c>
      <c r="D18" s="7" t="s">
        <v>86</v>
      </c>
    </row>
    <row r="19" spans="1:4">
      <c r="A19" s="2">
        <v>18</v>
      </c>
      <c r="B19" s="4" t="s">
        <v>12</v>
      </c>
      <c r="C19" t="s">
        <v>87</v>
      </c>
      <c r="D19" s="7">
        <v>31</v>
      </c>
    </row>
    <row r="20" spans="1:4">
      <c r="A20" s="2">
        <v>19</v>
      </c>
      <c r="B20" s="3" t="s">
        <v>13</v>
      </c>
      <c r="C20" t="s">
        <v>89</v>
      </c>
      <c r="D20" s="7">
        <v>45</v>
      </c>
    </row>
    <row r="21" spans="1:4">
      <c r="A21" s="2">
        <v>20</v>
      </c>
      <c r="B21" s="3" t="s">
        <v>14</v>
      </c>
      <c r="C21" t="s">
        <v>91</v>
      </c>
      <c r="D21" s="7" t="s">
        <v>69</v>
      </c>
    </row>
    <row r="22" spans="1:4">
      <c r="A22" s="2">
        <v>21</v>
      </c>
      <c r="B22" s="3" t="s">
        <v>15</v>
      </c>
      <c r="C22" t="s">
        <v>94</v>
      </c>
      <c r="D22" s="7">
        <v>39</v>
      </c>
    </row>
    <row r="23" spans="1:4">
      <c r="A23" s="2">
        <v>22</v>
      </c>
      <c r="B23" s="3" t="s">
        <v>16</v>
      </c>
      <c r="C23" t="s">
        <v>96</v>
      </c>
      <c r="D23" s="7">
        <v>14</v>
      </c>
    </row>
    <row r="24" spans="1:4">
      <c r="A24" s="2">
        <v>23</v>
      </c>
      <c r="B24" s="4" t="s">
        <v>17</v>
      </c>
      <c r="C24" t="s">
        <v>98</v>
      </c>
      <c r="D24" s="7">
        <v>35</v>
      </c>
    </row>
    <row r="25" spans="1:4">
      <c r="A25" s="2">
        <v>24</v>
      </c>
      <c r="B25" s="4" t="s">
        <v>18</v>
      </c>
      <c r="C25" t="s">
        <v>99</v>
      </c>
      <c r="D25" t="s">
        <v>86</v>
      </c>
    </row>
    <row r="26" spans="1:4">
      <c r="A26" s="2">
        <v>25</v>
      </c>
      <c r="B26" s="4" t="s">
        <v>19</v>
      </c>
      <c r="C26" t="s">
        <v>101</v>
      </c>
      <c r="D26" t="s">
        <v>103</v>
      </c>
    </row>
    <row r="27" spans="1:4">
      <c r="A27" s="2">
        <v>26</v>
      </c>
      <c r="B27" s="3" t="s">
        <v>20</v>
      </c>
      <c r="C27" s="1" t="s">
        <v>118</v>
      </c>
      <c r="D27" t="s">
        <v>69</v>
      </c>
    </row>
    <row r="28" spans="1:4">
      <c r="A28" s="2">
        <v>27</v>
      </c>
      <c r="B28" s="3" t="s">
        <v>21</v>
      </c>
      <c r="C28" s="1" t="s">
        <v>106</v>
      </c>
      <c r="D28" s="7">
        <v>28</v>
      </c>
    </row>
    <row r="29" spans="1:4">
      <c r="A29" s="2">
        <v>28</v>
      </c>
      <c r="B29" s="3" t="s">
        <v>22</v>
      </c>
      <c r="C29" s="1" t="s">
        <v>108</v>
      </c>
      <c r="D29" s="7">
        <v>29</v>
      </c>
    </row>
    <row r="30" spans="1:4">
      <c r="A30" s="2">
        <v>29</v>
      </c>
      <c r="B30" s="3" t="s">
        <v>23</v>
      </c>
      <c r="C30" s="1" t="s">
        <v>109</v>
      </c>
      <c r="D30" s="7" t="s">
        <v>72</v>
      </c>
    </row>
    <row r="31" spans="1:4">
      <c r="A31" s="2">
        <v>30</v>
      </c>
      <c r="B31" s="4" t="s">
        <v>24</v>
      </c>
      <c r="C31" t="s">
        <v>111</v>
      </c>
      <c r="D31" s="7" t="s">
        <v>113</v>
      </c>
    </row>
    <row r="32" spans="1:4">
      <c r="A32" s="2">
        <v>31</v>
      </c>
      <c r="B32" s="4" t="s">
        <v>25</v>
      </c>
      <c r="C32" s="1" t="s">
        <v>114</v>
      </c>
      <c r="D32" s="7">
        <v>33</v>
      </c>
    </row>
    <row r="33" spans="1:4">
      <c r="A33" s="2">
        <v>32</v>
      </c>
      <c r="B33" s="3" t="s">
        <v>26</v>
      </c>
      <c r="C33" s="1" t="s">
        <v>116</v>
      </c>
      <c r="D33" s="7">
        <v>22</v>
      </c>
    </row>
    <row r="34" spans="1:4">
      <c r="A34" s="2">
        <v>33</v>
      </c>
      <c r="B34" s="3" t="s">
        <v>27</v>
      </c>
      <c r="C34" s="1" t="s">
        <v>121</v>
      </c>
      <c r="D34" s="7" t="s">
        <v>122</v>
      </c>
    </row>
    <row r="35" spans="1:4">
      <c r="A35" s="2">
        <v>34</v>
      </c>
      <c r="B35" s="4" t="s">
        <v>28</v>
      </c>
      <c r="C35" s="1" t="s">
        <v>123</v>
      </c>
      <c r="D35" s="7" t="s">
        <v>125</v>
      </c>
    </row>
    <row r="36" spans="1:4">
      <c r="A36" s="2">
        <v>35</v>
      </c>
      <c r="B36" s="4" t="s">
        <v>29</v>
      </c>
      <c r="C36" s="1" t="s">
        <v>126</v>
      </c>
      <c r="D36" s="7">
        <v>31</v>
      </c>
    </row>
    <row r="37" spans="1:4">
      <c r="A37" s="2">
        <v>36</v>
      </c>
      <c r="B37" s="3" t="s">
        <v>30</v>
      </c>
      <c r="C37" s="1" t="s">
        <v>128</v>
      </c>
      <c r="D37" s="7" t="s">
        <v>130</v>
      </c>
    </row>
    <row r="38" spans="1:4">
      <c r="A38" s="2">
        <v>37</v>
      </c>
      <c r="B38" s="4" t="s">
        <v>31</v>
      </c>
      <c r="C38" s="1" t="s">
        <v>131</v>
      </c>
      <c r="D38" s="7" t="s">
        <v>130</v>
      </c>
    </row>
    <row r="39" spans="1:4">
      <c r="A39" s="2">
        <v>38</v>
      </c>
      <c r="B39" s="4" t="s">
        <v>32</v>
      </c>
      <c r="C39" s="1" t="s">
        <v>134</v>
      </c>
      <c r="D39" s="7" t="s">
        <v>103</v>
      </c>
    </row>
    <row r="40" spans="1:4">
      <c r="A40" s="2">
        <v>39</v>
      </c>
      <c r="B40" s="3" t="s">
        <v>33</v>
      </c>
      <c r="C40" s="1" t="s">
        <v>135</v>
      </c>
      <c r="D40" s="7" t="s">
        <v>103</v>
      </c>
    </row>
    <row r="41" spans="1:4">
      <c r="A41" s="2">
        <v>40</v>
      </c>
      <c r="B41" s="4" t="s">
        <v>34</v>
      </c>
      <c r="C41" s="1" t="s">
        <v>136</v>
      </c>
      <c r="D41" s="7" t="s">
        <v>137</v>
      </c>
    </row>
    <row r="42" spans="1:4">
      <c r="A42" s="2">
        <v>41</v>
      </c>
      <c r="B42" s="4" t="s">
        <v>35</v>
      </c>
      <c r="C42" s="1" t="s">
        <v>138</v>
      </c>
      <c r="D42" s="7">
        <v>20</v>
      </c>
    </row>
    <row r="43" spans="1:4">
      <c r="A43" s="2">
        <v>42</v>
      </c>
      <c r="B43" s="4" t="s">
        <v>36</v>
      </c>
      <c r="C43" s="1" t="s">
        <v>139</v>
      </c>
      <c r="D43" s="7">
        <v>14</v>
      </c>
    </row>
    <row r="44" spans="1:4">
      <c r="A44" s="2">
        <v>43</v>
      </c>
      <c r="B44" s="3" t="s">
        <v>37</v>
      </c>
      <c r="C44" s="1" t="s">
        <v>140</v>
      </c>
      <c r="D44" s="7" t="s">
        <v>141</v>
      </c>
    </row>
    <row r="45" spans="1:4">
      <c r="A45" s="2">
        <v>44</v>
      </c>
      <c r="B45" s="4" t="s">
        <v>38</v>
      </c>
      <c r="C45" s="1" t="s">
        <v>142</v>
      </c>
      <c r="D45" s="7">
        <v>37</v>
      </c>
    </row>
    <row r="46" spans="1:4">
      <c r="A46" s="2">
        <v>45</v>
      </c>
      <c r="B46" s="3" t="s">
        <v>39</v>
      </c>
      <c r="C46" s="1" t="s">
        <v>143</v>
      </c>
      <c r="D46" t="s">
        <v>113</v>
      </c>
    </row>
    <row r="47" spans="1:4">
      <c r="A47" s="2">
        <v>46</v>
      </c>
      <c r="B47" s="4" t="s">
        <v>40</v>
      </c>
      <c r="C47" s="1" t="s">
        <v>144</v>
      </c>
      <c r="D47" t="s">
        <v>122</v>
      </c>
    </row>
    <row r="48" spans="1:4">
      <c r="A48" s="2">
        <v>47</v>
      </c>
      <c r="B48" s="4" t="s">
        <v>41</v>
      </c>
      <c r="C48" s="1" t="s">
        <v>145</v>
      </c>
      <c r="D48" s="7">
        <v>34</v>
      </c>
    </row>
    <row r="49" spans="1:4">
      <c r="A49" s="2">
        <v>48</v>
      </c>
      <c r="B49" s="3" t="s">
        <v>42</v>
      </c>
      <c r="C49" s="1" t="s">
        <v>146</v>
      </c>
      <c r="D49" s="7">
        <v>32</v>
      </c>
    </row>
    <row r="50" spans="1:4">
      <c r="A50" s="2">
        <v>49</v>
      </c>
      <c r="B50" s="3" t="s">
        <v>43</v>
      </c>
      <c r="C50" s="1" t="s">
        <v>147</v>
      </c>
      <c r="D50" s="7">
        <v>34</v>
      </c>
    </row>
    <row r="51" spans="1:4">
      <c r="A51" s="2">
        <v>50</v>
      </c>
      <c r="B51" s="3" t="s">
        <v>44</v>
      </c>
      <c r="C51" s="1" t="s">
        <v>148</v>
      </c>
      <c r="D51" s="7" t="s">
        <v>69</v>
      </c>
    </row>
  </sheetData>
  <hyperlinks>
    <hyperlink ref="C3" r:id="rId1"/>
    <hyperlink ref="C2" r:id="rId2"/>
    <hyperlink ref="C4" r:id="rId3"/>
    <hyperlink ref="C5" r:id="rId4"/>
    <hyperlink ref="C7" r:id="rId5"/>
    <hyperlink ref="C8" r:id="rId6"/>
    <hyperlink ref="C9" r:id="rId7"/>
    <hyperlink ref="C10" r:id="rId8"/>
    <hyperlink ref="C6" r:id="rId9"/>
    <hyperlink ref="C11" r:id="rId10"/>
    <hyperlink ref="C12" r:id="rId11"/>
    <hyperlink ref="C13" r:id="rId12"/>
    <hyperlink ref="C16" r:id="rId13"/>
    <hyperlink ref="C17" r:id="rId14"/>
    <hyperlink ref="C28" r:id="rId15"/>
    <hyperlink ref="C29" r:id="rId16"/>
    <hyperlink ref="C30" r:id="rId17"/>
    <hyperlink ref="C27" r:id="rId18"/>
    <hyperlink ref="C34" r:id="rId19"/>
    <hyperlink ref="C35" r:id="rId20"/>
    <hyperlink ref="C36" r:id="rId21"/>
    <hyperlink ref="C37" r:id="rId22"/>
    <hyperlink ref="C38" r:id="rId23"/>
    <hyperlink ref="C39" r:id="rId24"/>
    <hyperlink ref="C40" r:id="rId25"/>
    <hyperlink ref="C41" r:id="rId26"/>
    <hyperlink ref="C42" r:id="rId27"/>
    <hyperlink ref="C43" r:id="rId28"/>
    <hyperlink ref="C44" r:id="rId29"/>
    <hyperlink ref="C45" r:id="rId30"/>
    <hyperlink ref="C46" r:id="rId31"/>
    <hyperlink ref="C47" r:id="rId32"/>
    <hyperlink ref="C48" r:id="rId33"/>
    <hyperlink ref="C49" r:id="rId34"/>
    <hyperlink ref="C50" r:id="rId35"/>
    <hyperlink ref="C51" r:id="rId36"/>
    <hyperlink ref="C32" r:id="rId37"/>
    <hyperlink ref="C33" r:id="rId38"/>
    <hyperlink ref="C15" r:id="rId39"/>
  </hyperlink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8" workbookViewId="0">
      <selection activeCell="O73" sqref="O73"/>
    </sheetView>
  </sheetViews>
  <sheetFormatPr baseColWidth="10" defaultColWidth="8.83203125" defaultRowHeight="14" x14ac:dyDescent="0"/>
  <cols>
    <col min="2" max="2" width="17.33203125" bestFit="1" customWidth="1"/>
    <col min="3" max="3" width="133.1640625" customWidth="1"/>
    <col min="4" max="4" width="10.6640625" customWidth="1"/>
  </cols>
  <sheetData>
    <row r="1" spans="1:4">
      <c r="A1" s="5" t="s">
        <v>45</v>
      </c>
      <c r="B1" s="5" t="s">
        <v>0</v>
      </c>
      <c r="C1" t="s">
        <v>56</v>
      </c>
      <c r="D1" t="s">
        <v>66</v>
      </c>
    </row>
    <row r="2" spans="1:4">
      <c r="A2" s="2">
        <v>1</v>
      </c>
      <c r="B2" s="3" t="s">
        <v>46</v>
      </c>
      <c r="C2" s="6" t="s">
        <v>234</v>
      </c>
      <c r="D2" s="7" t="s">
        <v>235</v>
      </c>
    </row>
    <row r="3" spans="1:4">
      <c r="A3" s="2">
        <v>2</v>
      </c>
      <c r="B3" s="4" t="s">
        <v>200</v>
      </c>
      <c r="C3" s="6" t="s">
        <v>236</v>
      </c>
      <c r="D3" s="7" t="s">
        <v>237</v>
      </c>
    </row>
    <row r="4" spans="1:4">
      <c r="A4" s="2">
        <v>3</v>
      </c>
      <c r="B4" s="3" t="s">
        <v>201</v>
      </c>
      <c r="C4" s="6" t="s">
        <v>238</v>
      </c>
      <c r="D4" s="7">
        <v>31</v>
      </c>
    </row>
    <row r="5" spans="1:4">
      <c r="A5" s="2">
        <v>4</v>
      </c>
      <c r="B5" s="3" t="s">
        <v>47</v>
      </c>
      <c r="C5" s="6" t="s">
        <v>239</v>
      </c>
      <c r="D5" s="7">
        <v>2</v>
      </c>
    </row>
    <row r="6" spans="1:4" ht="15" customHeight="1">
      <c r="A6" s="2">
        <v>5</v>
      </c>
      <c r="B6" s="3" t="s">
        <v>202</v>
      </c>
      <c r="C6" s="74" t="s">
        <v>240</v>
      </c>
      <c r="D6" s="7" t="s">
        <v>241</v>
      </c>
    </row>
    <row r="7" spans="1:4">
      <c r="A7" s="2">
        <v>6</v>
      </c>
      <c r="B7" s="4" t="s">
        <v>49</v>
      </c>
      <c r="C7" s="6" t="s">
        <v>242</v>
      </c>
      <c r="D7" s="7" t="s">
        <v>68</v>
      </c>
    </row>
    <row r="8" spans="1:4">
      <c r="A8" s="2">
        <v>7</v>
      </c>
      <c r="B8" s="4" t="s">
        <v>50</v>
      </c>
      <c r="C8" s="6" t="s">
        <v>243</v>
      </c>
      <c r="D8" t="s">
        <v>137</v>
      </c>
    </row>
    <row r="9" spans="1:4">
      <c r="A9" s="2">
        <v>8</v>
      </c>
      <c r="B9" s="4" t="s">
        <v>51</v>
      </c>
      <c r="C9" s="6" t="s">
        <v>244</v>
      </c>
      <c r="D9" s="7" t="s">
        <v>137</v>
      </c>
    </row>
    <row r="10" spans="1:4">
      <c r="A10" s="2">
        <v>9</v>
      </c>
      <c r="B10" s="4" t="s">
        <v>52</v>
      </c>
      <c r="C10" s="6" t="s">
        <v>245</v>
      </c>
      <c r="D10" s="7">
        <v>23</v>
      </c>
    </row>
    <row r="11" spans="1:4">
      <c r="A11" s="2">
        <v>10</v>
      </c>
      <c r="B11" s="4" t="s">
        <v>71</v>
      </c>
      <c r="C11" s="6" t="s">
        <v>246</v>
      </c>
      <c r="D11" s="7" t="s">
        <v>113</v>
      </c>
    </row>
    <row r="12" spans="1:4">
      <c r="A12" s="2">
        <v>11</v>
      </c>
      <c r="B12" s="4" t="s">
        <v>5</v>
      </c>
      <c r="C12" s="1" t="s">
        <v>247</v>
      </c>
      <c r="D12" s="7" t="s">
        <v>248</v>
      </c>
    </row>
    <row r="13" spans="1:4">
      <c r="A13" s="2">
        <v>12</v>
      </c>
      <c r="B13" s="3" t="s">
        <v>6</v>
      </c>
      <c r="C13" s="1" t="s">
        <v>249</v>
      </c>
      <c r="D13" s="7">
        <v>35</v>
      </c>
    </row>
    <row r="14" spans="1:4">
      <c r="A14" s="2">
        <v>13</v>
      </c>
      <c r="B14" s="3" t="s">
        <v>7</v>
      </c>
      <c r="C14" s="1" t="s">
        <v>250</v>
      </c>
      <c r="D14" s="7">
        <v>42</v>
      </c>
    </row>
    <row r="15" spans="1:4">
      <c r="A15" s="2">
        <v>14</v>
      </c>
      <c r="B15" s="3" t="s">
        <v>8</v>
      </c>
      <c r="C15" s="1" t="s">
        <v>251</v>
      </c>
      <c r="D15" s="7" t="s">
        <v>252</v>
      </c>
    </row>
    <row r="16" spans="1:4">
      <c r="A16" s="2">
        <v>15</v>
      </c>
      <c r="B16" s="3" t="s">
        <v>9</v>
      </c>
      <c r="C16" s="1" t="s">
        <v>253</v>
      </c>
      <c r="D16" s="7" t="s">
        <v>248</v>
      </c>
    </row>
    <row r="17" spans="1:4">
      <c r="A17" s="2">
        <v>16</v>
      </c>
      <c r="B17" s="4" t="s">
        <v>10</v>
      </c>
      <c r="C17" s="1" t="s">
        <v>254</v>
      </c>
      <c r="D17" s="7" t="s">
        <v>255</v>
      </c>
    </row>
    <row r="18" spans="1:4">
      <c r="A18" s="2">
        <v>17</v>
      </c>
      <c r="B18" s="4" t="s">
        <v>11</v>
      </c>
      <c r="C18" s="1" t="s">
        <v>256</v>
      </c>
      <c r="D18" s="7" t="s">
        <v>255</v>
      </c>
    </row>
    <row r="19" spans="1:4">
      <c r="A19" s="2">
        <v>18</v>
      </c>
      <c r="B19" s="4" t="s">
        <v>12</v>
      </c>
      <c r="C19" s="1" t="s">
        <v>257</v>
      </c>
      <c r="D19" s="7" t="s">
        <v>258</v>
      </c>
    </row>
    <row r="20" spans="1:4">
      <c r="A20" s="2">
        <v>19</v>
      </c>
      <c r="B20" s="3" t="s">
        <v>13</v>
      </c>
      <c r="C20" s="1" t="s">
        <v>259</v>
      </c>
      <c r="D20" s="7" t="s">
        <v>260</v>
      </c>
    </row>
    <row r="21" spans="1:4">
      <c r="A21" s="2">
        <v>20</v>
      </c>
      <c r="B21" s="3" t="s">
        <v>14</v>
      </c>
      <c r="C21" s="1" t="s">
        <v>261</v>
      </c>
      <c r="D21" s="7" t="s">
        <v>262</v>
      </c>
    </row>
    <row r="22" spans="1:4">
      <c r="A22" s="2">
        <v>21</v>
      </c>
      <c r="B22" s="3" t="s">
        <v>15</v>
      </c>
      <c r="C22" s="1" t="s">
        <v>263</v>
      </c>
      <c r="D22" s="7" t="s">
        <v>264</v>
      </c>
    </row>
    <row r="23" spans="1:4">
      <c r="A23" s="2">
        <v>22</v>
      </c>
      <c r="B23" s="3" t="s">
        <v>16</v>
      </c>
      <c r="C23" s="1" t="s">
        <v>265</v>
      </c>
      <c r="D23" s="7" t="s">
        <v>266</v>
      </c>
    </row>
    <row r="24" spans="1:4">
      <c r="A24" s="2">
        <v>23</v>
      </c>
      <c r="B24" s="4" t="s">
        <v>17</v>
      </c>
      <c r="C24" s="1" t="s">
        <v>267</v>
      </c>
      <c r="D24" s="7">
        <v>1</v>
      </c>
    </row>
    <row r="25" spans="1:4">
      <c r="A25" s="2">
        <v>24</v>
      </c>
      <c r="B25" s="4" t="s">
        <v>18</v>
      </c>
      <c r="C25" s="1" t="s">
        <v>268</v>
      </c>
      <c r="D25" s="7" t="s">
        <v>122</v>
      </c>
    </row>
    <row r="26" spans="1:4">
      <c r="A26" s="2">
        <v>25</v>
      </c>
      <c r="B26" s="4" t="s">
        <v>19</v>
      </c>
      <c r="C26" s="1" t="s">
        <v>269</v>
      </c>
      <c r="D26" s="7" t="s">
        <v>270</v>
      </c>
    </row>
    <row r="27" spans="1:4">
      <c r="A27" s="2">
        <v>26</v>
      </c>
      <c r="B27" s="3" t="s">
        <v>20</v>
      </c>
      <c r="C27" s="1" t="s">
        <v>271</v>
      </c>
      <c r="D27" t="s">
        <v>103</v>
      </c>
    </row>
    <row r="28" spans="1:4">
      <c r="A28" s="2">
        <v>27</v>
      </c>
      <c r="B28" s="3" t="s">
        <v>21</v>
      </c>
      <c r="C28" s="1" t="s">
        <v>272</v>
      </c>
      <c r="D28" s="7" t="s">
        <v>141</v>
      </c>
    </row>
    <row r="29" spans="1:4">
      <c r="A29" s="2">
        <v>28</v>
      </c>
      <c r="B29" s="3" t="s">
        <v>22</v>
      </c>
      <c r="C29" s="1" t="s">
        <v>273</v>
      </c>
      <c r="D29" s="7">
        <v>37</v>
      </c>
    </row>
    <row r="30" spans="1:4">
      <c r="A30" s="2">
        <v>29</v>
      </c>
      <c r="B30" s="3" t="s">
        <v>23</v>
      </c>
      <c r="C30" s="1" t="s">
        <v>274</v>
      </c>
      <c r="D30" s="7" t="s">
        <v>275</v>
      </c>
    </row>
    <row r="31" spans="1:4">
      <c r="A31" s="2">
        <v>30</v>
      </c>
      <c r="B31" s="4" t="s">
        <v>24</v>
      </c>
      <c r="C31" s="1" t="s">
        <v>276</v>
      </c>
      <c r="D31" s="75" t="s">
        <v>277</v>
      </c>
    </row>
    <row r="32" spans="1:4">
      <c r="A32" s="2">
        <v>31</v>
      </c>
      <c r="B32" s="4" t="s">
        <v>25</v>
      </c>
      <c r="C32" s="1" t="s">
        <v>278</v>
      </c>
      <c r="D32" s="7">
        <v>25</v>
      </c>
    </row>
    <row r="33" spans="1:4">
      <c r="A33" s="2">
        <v>32</v>
      </c>
      <c r="B33" s="3" t="s">
        <v>26</v>
      </c>
      <c r="C33" s="1" t="s">
        <v>279</v>
      </c>
      <c r="D33" s="75" t="s">
        <v>277</v>
      </c>
    </row>
    <row r="34" spans="1:4">
      <c r="A34" s="2">
        <v>33</v>
      </c>
      <c r="B34" s="3" t="s">
        <v>27</v>
      </c>
      <c r="C34" s="1" t="s">
        <v>280</v>
      </c>
      <c r="D34" s="75" t="s">
        <v>277</v>
      </c>
    </row>
    <row r="35" spans="1:4">
      <c r="A35" s="2">
        <v>34</v>
      </c>
      <c r="B35" s="4" t="s">
        <v>28</v>
      </c>
      <c r="C35" s="1" t="s">
        <v>281</v>
      </c>
      <c r="D35" s="7" t="s">
        <v>282</v>
      </c>
    </row>
    <row r="36" spans="1:4">
      <c r="A36" s="2">
        <v>35</v>
      </c>
      <c r="B36" s="4" t="s">
        <v>29</v>
      </c>
      <c r="C36" s="1" t="s">
        <v>283</v>
      </c>
      <c r="D36" s="7">
        <v>31</v>
      </c>
    </row>
    <row r="37" spans="1:4">
      <c r="A37" s="2">
        <v>36</v>
      </c>
      <c r="B37" s="3" t="s">
        <v>30</v>
      </c>
      <c r="C37" s="1" t="s">
        <v>284</v>
      </c>
      <c r="D37" s="7" t="s">
        <v>137</v>
      </c>
    </row>
    <row r="38" spans="1:4">
      <c r="A38" s="2">
        <v>37</v>
      </c>
      <c r="B38" s="4" t="s">
        <v>31</v>
      </c>
      <c r="C38" s="1" t="s">
        <v>285</v>
      </c>
      <c r="D38" s="75" t="s">
        <v>286</v>
      </c>
    </row>
    <row r="39" spans="1:4">
      <c r="A39" s="2">
        <v>38</v>
      </c>
      <c r="B39" s="4" t="s">
        <v>32</v>
      </c>
      <c r="C39" s="1" t="s">
        <v>287</v>
      </c>
      <c r="D39" s="7" t="s">
        <v>288</v>
      </c>
    </row>
    <row r="40" spans="1:4">
      <c r="A40" s="2">
        <v>39</v>
      </c>
      <c r="B40" s="3" t="s">
        <v>33</v>
      </c>
      <c r="C40" s="1" t="s">
        <v>289</v>
      </c>
      <c r="D40" s="7" t="s">
        <v>141</v>
      </c>
    </row>
    <row r="41" spans="1:4">
      <c r="A41" s="2">
        <v>40</v>
      </c>
      <c r="B41" s="4" t="s">
        <v>34</v>
      </c>
      <c r="C41" s="1" t="s">
        <v>290</v>
      </c>
      <c r="D41" s="7" t="s">
        <v>141</v>
      </c>
    </row>
    <row r="42" spans="1:4">
      <c r="A42" s="2">
        <v>41</v>
      </c>
      <c r="B42" s="4" t="s">
        <v>35</v>
      </c>
      <c r="C42" s="1" t="s">
        <v>291</v>
      </c>
      <c r="D42" s="7">
        <v>19</v>
      </c>
    </row>
    <row r="43" spans="1:4">
      <c r="A43" s="2">
        <v>42</v>
      </c>
      <c r="B43" s="4" t="s">
        <v>36</v>
      </c>
      <c r="C43" s="1" t="s">
        <v>292</v>
      </c>
      <c r="D43" s="75" t="s">
        <v>277</v>
      </c>
    </row>
    <row r="44" spans="1:4">
      <c r="A44" s="2">
        <v>43</v>
      </c>
      <c r="B44" s="3" t="s">
        <v>37</v>
      </c>
      <c r="C44" s="1" t="s">
        <v>293</v>
      </c>
      <c r="D44" s="7" t="s">
        <v>137</v>
      </c>
    </row>
    <row r="45" spans="1:4">
      <c r="A45" s="2">
        <v>44</v>
      </c>
      <c r="B45" s="4" t="s">
        <v>38</v>
      </c>
      <c r="C45" s="1" t="s">
        <v>294</v>
      </c>
      <c r="D45" s="7" t="s">
        <v>295</v>
      </c>
    </row>
    <row r="46" spans="1:4">
      <c r="A46" s="2">
        <v>45</v>
      </c>
      <c r="B46" s="3" t="s">
        <v>39</v>
      </c>
      <c r="C46" s="1" t="s">
        <v>296</v>
      </c>
      <c r="D46" s="76" t="s">
        <v>297</v>
      </c>
    </row>
    <row r="47" spans="1:4">
      <c r="A47" s="2">
        <v>46</v>
      </c>
      <c r="B47" s="4" t="s">
        <v>40</v>
      </c>
      <c r="C47" s="1" t="s">
        <v>298</v>
      </c>
      <c r="D47" s="76" t="s">
        <v>277</v>
      </c>
    </row>
    <row r="48" spans="1:4">
      <c r="A48" s="2">
        <v>47</v>
      </c>
      <c r="B48" s="4" t="s">
        <v>41</v>
      </c>
      <c r="C48" s="1" t="s">
        <v>299</v>
      </c>
      <c r="D48" s="75" t="s">
        <v>297</v>
      </c>
    </row>
    <row r="49" spans="1:4">
      <c r="A49" s="2">
        <v>48</v>
      </c>
      <c r="B49" s="3" t="s">
        <v>42</v>
      </c>
      <c r="C49" s="1" t="s">
        <v>300</v>
      </c>
      <c r="D49" s="7" t="s">
        <v>301</v>
      </c>
    </row>
    <row r="50" spans="1:4">
      <c r="A50" s="2">
        <v>49</v>
      </c>
      <c r="B50" s="3" t="s">
        <v>43</v>
      </c>
      <c r="C50" s="1" t="s">
        <v>302</v>
      </c>
      <c r="D50" s="7">
        <v>17</v>
      </c>
    </row>
    <row r="51" spans="1:4">
      <c r="A51" s="2">
        <v>50</v>
      </c>
      <c r="B51" s="3" t="s">
        <v>44</v>
      </c>
      <c r="C51" s="1" t="s">
        <v>303</v>
      </c>
      <c r="D51" s="75" t="s">
        <v>304</v>
      </c>
    </row>
  </sheetData>
  <hyperlinks>
    <hyperlink ref="C2" r:id="rId1"/>
    <hyperlink ref="C5" r:id="rId2"/>
    <hyperlink ref="C8" r:id="rId3"/>
    <hyperlink ref="C9" r:id="rId4"/>
    <hyperlink ref="C11" r:id="rId5"/>
    <hyperlink ref="C12" r:id="rId6"/>
    <hyperlink ref="C14" r:id="rId7"/>
    <hyperlink ref="C15" r:id="rId8"/>
    <hyperlink ref="C16" r:id="rId9"/>
    <hyperlink ref="C17" r:id="rId10"/>
    <hyperlink ref="C18" r:id="rId11"/>
    <hyperlink ref="C19" r:id="rId12"/>
    <hyperlink ref="C20" r:id="rId13"/>
    <hyperlink ref="C21" r:id="rId14"/>
    <hyperlink ref="C22" r:id="rId15"/>
    <hyperlink ref="C23" r:id="rId16"/>
    <hyperlink ref="C24" r:id="rId17"/>
    <hyperlink ref="C25" r:id="rId18"/>
    <hyperlink ref="C49" r:id="rId19"/>
    <hyperlink ref="C31" r:id="rId20"/>
    <hyperlink ref="C27" r:id="rId21"/>
    <hyperlink ref="C29" r:id="rId22"/>
    <hyperlink ref="C32" r:id="rId23"/>
    <hyperlink ref="C36" r:id="rId24"/>
    <hyperlink ref="C40" r:id="rId25"/>
    <hyperlink ref="C41" r:id="rId26"/>
    <hyperlink ref="C46" r:id="rId27"/>
    <hyperlink ref="C50" r:id="rId28"/>
    <hyperlink ref="C28" r:id="rId29"/>
    <hyperlink ref="C3" r:id="rId30"/>
    <hyperlink ref="C7" r:id="rId31"/>
    <hyperlink ref="C10" r:id="rId32"/>
    <hyperlink ref="C13" r:id="rId33"/>
    <hyperlink ref="C4" r:id="rId34"/>
    <hyperlink ref="C26" r:id="rId35"/>
  </hyperlinks>
  <pageMargins left="0.7" right="0.7" top="0.75" bottom="0.75" header="0.3" footer="0.3"/>
  <pageSetup orientation="portrait" horizontalDpi="4294967293"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2017 Ranked by GDP</vt:lpstr>
      <vt:lpstr>2017 Ranked by CW PC</vt:lpstr>
      <vt:lpstr>2000 Ranked by GDP</vt:lpstr>
      <vt:lpstr>2000 Ranked by CW PC</vt:lpstr>
      <vt:lpstr>2000-17 Change</vt:lpstr>
      <vt:lpstr>LINKS (2017)</vt:lpstr>
      <vt:lpstr>LINKS (2000)</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Noi Reineke</cp:lastModifiedBy>
  <cp:lastPrinted>2019-01-10T21:40:22Z</cp:lastPrinted>
  <dcterms:created xsi:type="dcterms:W3CDTF">2018-11-28T15:57:10Z</dcterms:created>
  <dcterms:modified xsi:type="dcterms:W3CDTF">2019-02-04T23:12:50Z</dcterms:modified>
</cp:coreProperties>
</file>